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Q8-bao gom nguon CCTL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localSheetId="0" hidden="1">#REF!</definedName>
    <definedName name="_xlnm.Print_Titles" localSheetId="0">'Q8-bao gom nguon CCTL'!$A:$B,'Q8-bao gom nguon CCTL'!$7:$8</definedName>
  </definedNames>
  <calcPr fullCalcOnLoad="1"/>
</workbook>
</file>

<file path=xl/sharedStrings.xml><?xml version="1.0" encoding="utf-8"?>
<sst xmlns="http://schemas.openxmlformats.org/spreadsheetml/2006/main" count="310" uniqueCount="255">
  <si>
    <t>Nội dung</t>
  </si>
  <si>
    <t xml:space="preserve"> - Kinh phí thường xuyên</t>
  </si>
  <si>
    <t xml:space="preserve"> - Kinh phí tiết kiệm 10% để thực hiện cải cách tiền lương</t>
  </si>
  <si>
    <t xml:space="preserve"> - Kinh phí không thường xuyên</t>
  </si>
  <si>
    <t>ỦY BAN NHÂN DÂN QUẬN 8</t>
  </si>
  <si>
    <t>STT</t>
  </si>
  <si>
    <t>I</t>
  </si>
  <si>
    <t>Tổng số thu, chi, nộp ngân sách phí, lệ phí</t>
  </si>
  <si>
    <t>Số thu phí, lệ phí</t>
  </si>
  <si>
    <t>1.1</t>
  </si>
  <si>
    <t>Lệ phí</t>
  </si>
  <si>
    <t>1.2</t>
  </si>
  <si>
    <t>Phí</t>
  </si>
  <si>
    <t>Chi từ nguồn thu phí được để lại</t>
  </si>
  <si>
    <t>Số phí, lệ phí nộp NSNN</t>
  </si>
  <si>
    <t>II</t>
  </si>
  <si>
    <t>Dự toán chi ngân sách nhà nước</t>
  </si>
  <si>
    <t>Chi sự nghiệp giáo dục, đào tạo, dạy nghề</t>
  </si>
  <si>
    <t>3.1</t>
  </si>
  <si>
    <t>Kinh phí nhiệm vụ thường xuyên</t>
  </si>
  <si>
    <t>Kinh phí nhiệm vụ không thường xuyên</t>
  </si>
  <si>
    <t>3.2</t>
  </si>
  <si>
    <t>Chi quản lý hành chính</t>
  </si>
  <si>
    <t>2.1</t>
  </si>
  <si>
    <t>2.2</t>
  </si>
  <si>
    <t>Chi sự nghiệp y tế, dân số và gia đình</t>
  </si>
  <si>
    <t>Chi bảo đảm xã hội</t>
  </si>
  <si>
    <t>4.1</t>
  </si>
  <si>
    <t>4.2</t>
  </si>
  <si>
    <t>5.1</t>
  </si>
  <si>
    <t>5.2</t>
  </si>
  <si>
    <t>Chi sự nghiệp kinh tế</t>
  </si>
  <si>
    <t>6.1</t>
  </si>
  <si>
    <t>6.2</t>
  </si>
  <si>
    <t>Chi sự nghiệp bảo vệ môi trường</t>
  </si>
  <si>
    <t>Chi sự nghiệp văn hóa thông tin</t>
  </si>
  <si>
    <t>7.1</t>
  </si>
  <si>
    <t>7.2</t>
  </si>
  <si>
    <t>8.1</t>
  </si>
  <si>
    <t>8.2</t>
  </si>
  <si>
    <t>Chi sự nghiệp thể dục thể thao</t>
  </si>
  <si>
    <t>A</t>
  </si>
  <si>
    <t>B</t>
  </si>
  <si>
    <t>1</t>
  </si>
  <si>
    <t>2</t>
  </si>
  <si>
    <t xml:space="preserve"> - Nguồn cải cách tiền lương NSTP cấp (chi thu nhập theo Nghị quyết số 03)</t>
  </si>
  <si>
    <t xml:space="preserve"> - Nguồn cải cách tiền lương của đơn vị</t>
  </si>
  <si>
    <t>9.1</t>
  </si>
  <si>
    <t>9.2</t>
  </si>
  <si>
    <t>10.1</t>
  </si>
  <si>
    <t>10.2</t>
  </si>
  <si>
    <t>Ban Chỉ huy Quân sự Quận 8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</si>
  <si>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</si>
  <si>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</si>
  <si>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</si>
  <si>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</si>
  <si>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</si>
  <si>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</si>
  <si>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</si>
  <si>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</si>
  <si>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</si>
  <si>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</si>
  <si>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</si>
  <si>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</si>
  <si>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</si>
  <si>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</si>
  <si>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</si>
  <si>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</si>
  <si>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</si>
  <si>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</si>
  <si>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</si>
  <si>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</si>
  <si>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</si>
  <si>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</si>
  <si>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</si>
  <si>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</si>
  <si>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</si>
  <si>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</si>
  <si>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</si>
  <si>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</si>
  <si>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</si>
  <si>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</si>
  <si>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</si>
  <si>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40</t>
  </si>
  <si>
    <t>41</t>
  </si>
  <si>
    <t>Văn phòng UBND</t>
  </si>
  <si>
    <t>Trung tâm Văn hóa - Thể thao</t>
  </si>
  <si>
    <t>Nhà Thiếu nhi</t>
  </si>
  <si>
    <t>Phòng Kinh tế</t>
  </si>
  <si>
    <t>Phòng Quản lý đô thị</t>
  </si>
  <si>
    <t>Phòng Tài nguyên và Môi trường</t>
  </si>
  <si>
    <t>Phòng Văn hóa và Thông tin</t>
  </si>
  <si>
    <t>Phòng Lao động- Thương binh và Xã hội</t>
  </si>
  <si>
    <t>Phòng Tư pháp</t>
  </si>
  <si>
    <t>Phòng Nội vụ</t>
  </si>
  <si>
    <t>Phòng Giáo dục và Đào tạo</t>
  </si>
  <si>
    <t>Phòng Y tế</t>
  </si>
  <si>
    <t>Lệ phí hộ tịch</t>
  </si>
  <si>
    <t>Lệ phí đăng ký kinh doanh</t>
  </si>
  <si>
    <t>Lệ phí cấp phép xây dựng</t>
  </si>
  <si>
    <t xml:space="preserve">Phí chứng thực </t>
  </si>
  <si>
    <t>Phí khai thác, sử dụng thông tin cơ sở dữ liệu hộ tịch</t>
  </si>
  <si>
    <t>Ủy ban Mặt trận Tổ quốc Việt Nam Quận 8</t>
  </si>
  <si>
    <t>Quận Đoàn 8</t>
  </si>
  <si>
    <t>Hội Liên Hiệp Phụ nữ Quận 8</t>
  </si>
  <si>
    <t>Hội Cựu Chiến binh Quận 8</t>
  </si>
  <si>
    <t>Hội Chữ thập đỏ Quận 8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</si>
  <si>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</si>
  <si>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</si>
  <si>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</si>
  <si>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</si>
  <si>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</si>
  <si>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</si>
  <si>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</si>
  <si>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</si>
  <si>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</si>
  <si>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</si>
  <si>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</si>
  <si>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</si>
  <si>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Ủy ban nhân dân Phường 1</t>
  </si>
  <si>
    <t>Ủy ban nhân dân Phường 2</t>
  </si>
  <si>
    <t>Ủy ban nhân dân Phường 3</t>
  </si>
  <si>
    <t>Ủy ban nhân dân Phường 4</t>
  </si>
  <si>
    <t>Ủy ban nhân dân Phường 5</t>
  </si>
  <si>
    <t>Ủy ban nhân dân Phường 6</t>
  </si>
  <si>
    <t>Ủy ban nhân dân Phường 7</t>
  </si>
  <si>
    <t>Ủy ban nhân dân Phường 8</t>
  </si>
  <si>
    <t>Ủy ban nhân dân Phường 9</t>
  </si>
  <si>
    <t>Ủy ban nhân dân Phường 10</t>
  </si>
  <si>
    <t>Ủy ban nhân dân Phường 11</t>
  </si>
  <si>
    <t>Ủy ban nhân dân Phường 12</t>
  </si>
  <si>
    <t>Ủy ban nhân dân Phường 13</t>
  </si>
  <si>
    <t>Ủy ban nhân dân Phường 14</t>
  </si>
  <si>
    <t>Ủy ban nhân dân Phường 15</t>
  </si>
  <si>
    <t>Ủy ban nhân dân Phường 16</t>
  </si>
  <si>
    <t>54</t>
  </si>
  <si>
    <t>55</t>
  </si>
  <si>
    <t>56</t>
  </si>
  <si>
    <t>57</t>
  </si>
  <si>
    <t>58</t>
  </si>
  <si>
    <t>59</t>
  </si>
  <si>
    <t>60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</si>
  <si>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</si>
  <si>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</si>
  <si>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</si>
  <si>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</si>
  <si>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</si>
  <si>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</si>
  <si>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</si>
  <si>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</si>
  <si>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</si>
  <si>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</si>
  <si>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</si>
  <si>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</si>
  <si>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</si>
  <si>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</si>
  <si>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</si>
  <si>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</si>
  <si>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</si>
  <si>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</si>
  <si>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</si>
  <si>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</si>
  <si>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</si>
  <si>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</si>
  <si>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</si>
  <si>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Trường Mầm non Vườn Hồng</t>
  </si>
  <si>
    <t>Trường Mầm non Việt Nhi</t>
  </si>
  <si>
    <t>Trường Mầm non Bình Minh</t>
  </si>
  <si>
    <t>Trường Mầm non Tuổi Hoa</t>
  </si>
  <si>
    <t>Trường Mầm non Tuổi Thơ</t>
  </si>
  <si>
    <t>Trường Mầm non 19/5</t>
  </si>
  <si>
    <t>Trường Mầm non Tuổi Ngọc</t>
  </si>
  <si>
    <t>Trường Mầm non Thỏ Ngọc</t>
  </si>
  <si>
    <t>Trường Mầm non Vành Khuyên</t>
  </si>
  <si>
    <t>Trường Mầm non Vàng Anh</t>
  </si>
  <si>
    <t>Trường Mầm non Nắng Mai</t>
  </si>
  <si>
    <t>Trường Mầm non Sơn Ca</t>
  </si>
  <si>
    <t>Trường Mầm non Họa Mi</t>
  </si>
  <si>
    <t>Trường Mầm non Kim Đồng</t>
  </si>
  <si>
    <t>Trường Mầm non Bông Hồng</t>
  </si>
  <si>
    <t>Trường Mầm non Bé Ngoan</t>
  </si>
  <si>
    <t>Trường Mầm non Hoa Phượng</t>
  </si>
  <si>
    <t>Trường Mầm non Bông Sen</t>
  </si>
  <si>
    <t>Trường Tiểu học Nguyễn Trực</t>
  </si>
  <si>
    <t>Trường Tiểu học Rạch Ông</t>
  </si>
  <si>
    <t>Trường Tiểu học Âu Dương Lân</t>
  </si>
  <si>
    <t>Trường Tiểu học Vàm Cỏ Đông</t>
  </si>
  <si>
    <t>Trường Tiểu học Thái Hưng</t>
  </si>
  <si>
    <t>Trường Tiểu học Hoàng Minh Đạo</t>
  </si>
  <si>
    <t>Trường Tiểu học Bông Sao</t>
  </si>
  <si>
    <t xml:space="preserve">Trường Tiểu học Phan Đăng Lưu </t>
  </si>
  <si>
    <t>Trường Tiểu học Bùi Minh Trực</t>
  </si>
  <si>
    <t>Trường Tiểu học Nguyễn Trung Ngạn</t>
  </si>
  <si>
    <t>Trường Tiểu học An Phong</t>
  </si>
  <si>
    <t>Trường Tiểu học Trần Danh Lâm</t>
  </si>
  <si>
    <t>Trường Tiểu học Lý Nhân Tông</t>
  </si>
  <si>
    <t>Trường Tiểu học Hưng Phú</t>
  </si>
  <si>
    <t>Trường Tiểu học Lý Thái Tổ</t>
  </si>
  <si>
    <t>Trường Tiểu học Tuy Lý Vương</t>
  </si>
  <si>
    <t>Trường Tiểu học Trần Nguyên Hãn</t>
  </si>
  <si>
    <t>Trường Tiểu học Hồng Đức</t>
  </si>
  <si>
    <t>Trường Tiểu học Nguyễn Nhược Thị</t>
  </si>
  <si>
    <t>Trường Tiểu học Lưu Hữu Phước</t>
  </si>
  <si>
    <t xml:space="preserve">Trường Tiểu học Nguyễn Công Trứ </t>
  </si>
  <si>
    <t>Trường Hy Vọng</t>
  </si>
  <si>
    <t>Trường THCS Dương Bá Trạc</t>
  </si>
  <si>
    <t>Trường THCS Khánh Bình</t>
  </si>
  <si>
    <t>Trường THCS Chánh Hưng</t>
  </si>
  <si>
    <t>Trường THCS Sương Nguyệt Anh</t>
  </si>
  <si>
    <t>Trường THCS Phan Đăng Lưu</t>
  </si>
  <si>
    <t>Trường THCS Tùng Thiện Vương</t>
  </si>
  <si>
    <t>Trường THCS Lê Lai</t>
  </si>
  <si>
    <t>Trường THCS Trần Danh Ninh</t>
  </si>
  <si>
    <t>Trường THCS Bình An</t>
  </si>
  <si>
    <t>Trường THCS Bình Đông</t>
  </si>
  <si>
    <t>Trường THCS Lý Thánh Tông</t>
  </si>
  <si>
    <t>Trường THCS Phú Lợi</t>
  </si>
  <si>
    <t>Kinh phí thực hiện chế độ tự chủ</t>
  </si>
  <si>
    <t>Kinh phí không thực hiện chế độ tự chủ</t>
  </si>
  <si>
    <t>Chi quốc phòng</t>
  </si>
  <si>
    <t>Chi an ninh và trật tự</t>
  </si>
  <si>
    <t>61</t>
  </si>
  <si>
    <t>Ban Bồi thường giải phóng mặt bằng</t>
  </si>
  <si>
    <t>Trường Bồi dưỡng Nghiệp vụ Giáo dục Q8</t>
  </si>
  <si>
    <t>Trung tâm Giáo dục Nghề nghiệp Giáo dục Thường xuyên Q8</t>
  </si>
  <si>
    <t>Thanh Tra</t>
  </si>
  <si>
    <t>Công an Quận 8</t>
  </si>
  <si>
    <t>BQL dự án đầu tư xây dựng khu vực</t>
  </si>
  <si>
    <t>BQL chợ Phạm Thế Hiển</t>
  </si>
  <si>
    <t>Chương: 599</t>
  </si>
  <si>
    <t>Ủy ban nhân dân Quận 8 (Đơn vị dự toán cấp 1)</t>
  </si>
  <si>
    <t>Phòng Tài chính- Kế hoạch</t>
  </si>
  <si>
    <t>Lệ phí cấp giấy chứng nhận quyền sử dụng đất, quyền sở hữu nhà, tài sản gắn liền với đất</t>
  </si>
  <si>
    <t>Phí thẩm định hoạt động, tiêu chuẩn, điều kiện hành nghề thuộc lĩnh vực y tế</t>
  </si>
  <si>
    <t>Phí thẩm định điều kiện, tiêu chuẩn ngành nghề thuộc lĩnh vực công nghiệp, thương mại, xây dựng (kinh doanh sản phẩm thuốc lá;sản xuất-kinh doanh rượu)</t>
  </si>
  <si>
    <t>Phí thẩm định tiêu chuẩn, điều kiện hành nghề theo quy định của pháp luật (cửa hàng bán lẻ LPG chai; giấy chứng nhận quyền sử dụng đất và tài sản gắn liền với đất; đăng ký thay đổi có quyền sử dụng đất đất và tài sản gắn liền với đất)</t>
  </si>
  <si>
    <t>Dự toán chi ngân sách nhà nước đã bao gồm nguồn CCTL của đơn vị</t>
  </si>
  <si>
    <t>36</t>
  </si>
  <si>
    <t>37</t>
  </si>
  <si>
    <t>38</t>
  </si>
  <si>
    <t>39</t>
  </si>
  <si>
    <t>Biểu số 1</t>
  </si>
  <si>
    <t>Tổng số đã phân bổ</t>
  </si>
  <si>
    <t>Tổng số được giao</t>
  </si>
  <si>
    <t>4=5+6+...+105</t>
  </si>
  <si>
    <t>III</t>
  </si>
  <si>
    <t>Nguồn ngân sách nhà nước</t>
  </si>
  <si>
    <t>(ĐV tính: triệu đồng)</t>
  </si>
  <si>
    <t xml:space="preserve"> </t>
  </si>
  <si>
    <t xml:space="preserve">DỰ TOÁN THU, CHI NGÂN SÁCH NHÀ NƯỚC ĐƯỢC BỔ SUNG VÀ PHÂN BỔ CHO CÁC ĐƠN VỊ TRỰC THUỘC NĂM 2022 </t>
  </si>
  <si>
    <t>Ban Bồi thường giải phóng mặt bằng Quận 8</t>
  </si>
  <si>
    <t>Ban Quản lý dự án đầu tư xây dựng khu vực Quận 8</t>
  </si>
  <si>
    <t>Ban Quản lý chợ Phạm Thế Hiển</t>
  </si>
  <si>
    <t>Trung tâm Văn hóa-Thể thao Quận 8</t>
  </si>
  <si>
    <t>(Ban hành kèm theo Quyết định số     9840/QĐ-UBND ngày 30 tháng 12 năm 2022 của Ủy ban nhân dân Quận 8)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</si>
</sst>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\ _F_t_-;\-* #,##0\ _F_t_-;_-* &quot;-&quot;\ _F_t_-;_-@_-"/>
    <numFmt numFmtId="166" formatCode="_-* #,##0.00\ _F_t_-;\-* #,##0.00\ _F_t_-;_-* &quot;-&quot;??\ _F_t_-;_-@_-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&quot;\&quot;#,##0.00;[Red]&quot;\&quot;\-#,##0.00"/>
    <numFmt numFmtId="171" formatCode="&quot;\&quot;#,##0;[Red]&quot;\&quot;\-#,##0"/>
    <numFmt numFmtId="172" formatCode="#,##0.000"/>
  </numFmts>
  <fonts count="98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VNI-Times"/>
      <family val="0"/>
    </font>
    <font>
      <sz val="10"/>
      <name val="MS Sans Serif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VNI-Helve-Condense"/>
      <family val="0"/>
    </font>
    <font>
      <sz val="10"/>
      <name val="Arial"/>
      <family val="2"/>
    </font>
    <font>
      <sz val="12"/>
      <name val="Times New Roman"/>
      <family val="1"/>
    </font>
    <font>
      <sz val="12"/>
      <name val=".VnTime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2"/>
      <color indexed="8"/>
      <name val="Times New Roman"/>
      <family val="2"/>
    </font>
    <font>
      <sz val="13"/>
      <name val="Times New Roman"/>
      <family val="1"/>
    </font>
    <font>
      <i/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.5"/>
      <color indexed="8"/>
      <name val="Times New Roman"/>
      <family val="1"/>
    </font>
    <font>
      <i/>
      <sz val="10"/>
      <color indexed="10"/>
      <name val="Times New Roman"/>
      <family val="1"/>
    </font>
    <font>
      <i/>
      <sz val="9.5"/>
      <color indexed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sz val="9"/>
      <color indexed="8"/>
      <name val="Times New Roman"/>
      <family val="1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i/>
      <sz val="12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12"/>
      <name val="Times New Roman"/>
      <family val="1"/>
    </font>
    <font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1"/>
      <name val="Times New Roman"/>
      <family val="1"/>
    </font>
    <font>
      <b/>
      <sz val="9.5"/>
      <color indexed="9"/>
      <name val="Times New Roman"/>
      <family val="1"/>
    </font>
    <font>
      <sz val="10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i/>
      <sz val="10"/>
      <color rgb="FF0000FF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rgb="FFFF0000"/>
      <name val="Times New Roman"/>
      <family val="1"/>
    </font>
    <font>
      <i/>
      <sz val="9.5"/>
      <color rgb="FF0000FF"/>
      <name val="Times New Roman"/>
      <family val="1"/>
    </font>
    <font>
      <sz val="11"/>
      <color theme="1"/>
      <name val="Times New Roman"/>
      <family val="1"/>
    </font>
    <font>
      <sz val="11"/>
      <color rgb="FF0000FF"/>
      <name val="Times New Roman"/>
      <family val="1"/>
    </font>
    <font>
      <sz val="9.5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rgb="FF0000FF"/>
      <name val="Times New Roman"/>
      <family val="1"/>
    </font>
    <font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9.5"/>
      <color theme="0"/>
      <name val="Times New Roman"/>
      <family val="1"/>
    </font>
    <font>
      <sz val="10"/>
      <color theme="0"/>
      <name val="Times New Roman"/>
      <family val="1"/>
    </font>
    <font>
      <b/>
      <sz val="11"/>
      <color rgb="FF0000FF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7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5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49" fontId="2" fillId="0" borderId="0">
      <alignment vertical="center"/>
      <protection/>
    </xf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60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6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0" fontId="8" fillId="0" borderId="0" applyFont="0" applyFill="0" applyBorder="0" applyAlignment="0" applyProtection="0"/>
    <xf numFmtId="0" fontId="12" fillId="0" borderId="0">
      <alignment/>
      <protection/>
    </xf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4" fillId="0" borderId="0">
      <alignment/>
      <protection/>
    </xf>
  </cellStyleXfs>
  <cellXfs count="100">
    <xf numFmtId="0" fontId="0" fillId="0" borderId="0" xfId="0" applyAlignment="1">
      <alignment/>
    </xf>
    <xf numFmtId="0" fontId="5" fillId="0" borderId="10" xfId="106" applyFont="1" applyFill="1" applyBorder="1" applyAlignment="1">
      <alignment horizontal="center"/>
      <protection/>
    </xf>
    <xf numFmtId="0" fontId="6" fillId="0" borderId="10" xfId="95" applyFont="1" applyFill="1" applyBorder="1" applyAlignment="1">
      <alignment vertical="top"/>
      <protection/>
    </xf>
    <xf numFmtId="0" fontId="5" fillId="0" borderId="10" xfId="95" applyFont="1" applyFill="1" applyBorder="1" applyAlignment="1">
      <alignment vertical="top"/>
      <protection/>
    </xf>
    <xf numFmtId="0" fontId="5" fillId="0" borderId="0" xfId="106" applyFont="1" applyFill="1">
      <alignment/>
      <protection/>
    </xf>
    <xf numFmtId="3" fontId="77" fillId="0" borderId="10" xfId="95" applyNumberFormat="1" applyFont="1" applyFill="1" applyBorder="1" applyAlignment="1">
      <alignment vertical="top"/>
      <protection/>
    </xf>
    <xf numFmtId="3" fontId="78" fillId="0" borderId="10" xfId="95" applyNumberFormat="1" applyFont="1" applyFill="1" applyBorder="1" applyAlignment="1" quotePrefix="1">
      <alignment vertical="top"/>
      <protection/>
    </xf>
    <xf numFmtId="3" fontId="79" fillId="0" borderId="10" xfId="95" applyNumberFormat="1" applyFont="1" applyFill="1" applyBorder="1" applyAlignment="1">
      <alignment vertical="top"/>
      <protection/>
    </xf>
    <xf numFmtId="0" fontId="77" fillId="0" borderId="0" xfId="106" applyFont="1" applyFill="1">
      <alignment/>
      <protection/>
    </xf>
    <xf numFmtId="3" fontId="80" fillId="0" borderId="10" xfId="95" applyNumberFormat="1" applyFont="1" applyFill="1" applyBorder="1" applyAlignment="1">
      <alignment vertical="top"/>
      <protection/>
    </xf>
    <xf numFmtId="3" fontId="77" fillId="0" borderId="0" xfId="106" applyNumberFormat="1" applyFont="1" applyFill="1">
      <alignment/>
      <protection/>
    </xf>
    <xf numFmtId="0" fontId="6" fillId="0" borderId="10" xfId="106" applyFont="1" applyFill="1" applyBorder="1" applyAlignment="1">
      <alignment horizontal="center"/>
      <protection/>
    </xf>
    <xf numFmtId="3" fontId="81" fillId="0" borderId="10" xfId="95" applyNumberFormat="1" applyFont="1" applyFill="1" applyBorder="1" applyAlignment="1">
      <alignment vertical="top"/>
      <protection/>
    </xf>
    <xf numFmtId="3" fontId="82" fillId="0" borderId="10" xfId="95" applyNumberFormat="1" applyFont="1" applyFill="1" applyBorder="1" applyAlignment="1">
      <alignment vertical="top"/>
      <protection/>
    </xf>
    <xf numFmtId="3" fontId="81" fillId="0" borderId="10" xfId="95" applyNumberFormat="1" applyFont="1" applyFill="1" applyBorder="1" applyAlignment="1" quotePrefix="1">
      <alignment vertical="top"/>
      <protection/>
    </xf>
    <xf numFmtId="0" fontId="82" fillId="0" borderId="0" xfId="106" applyFont="1" applyFill="1">
      <alignment/>
      <protection/>
    </xf>
    <xf numFmtId="3" fontId="82" fillId="0" borderId="0" xfId="106" applyNumberFormat="1" applyFont="1" applyFill="1">
      <alignment/>
      <protection/>
    </xf>
    <xf numFmtId="3" fontId="83" fillId="0" borderId="10" xfId="95" applyNumberFormat="1" applyFont="1" applyFill="1" applyBorder="1" applyAlignment="1">
      <alignment vertical="top"/>
      <protection/>
    </xf>
    <xf numFmtId="3" fontId="81" fillId="0" borderId="10" xfId="95" applyNumberFormat="1" applyFont="1" applyFill="1" applyBorder="1" applyAlignment="1">
      <alignment horizontal="right" vertical="top"/>
      <protection/>
    </xf>
    <xf numFmtId="3" fontId="5" fillId="0" borderId="10" xfId="106" applyNumberFormat="1" applyFont="1" applyFill="1" applyBorder="1">
      <alignment/>
      <protection/>
    </xf>
    <xf numFmtId="0" fontId="82" fillId="0" borderId="10" xfId="106" applyFont="1" applyFill="1" applyBorder="1" applyAlignment="1">
      <alignment horizontal="center"/>
      <protection/>
    </xf>
    <xf numFmtId="0" fontId="82" fillId="0" borderId="10" xfId="95" applyFont="1" applyFill="1" applyBorder="1" applyAlignment="1">
      <alignment vertical="top"/>
      <protection/>
    </xf>
    <xf numFmtId="3" fontId="5" fillId="0" borderId="10" xfId="95" applyNumberFormat="1" applyFont="1" applyFill="1" applyBorder="1" applyAlignment="1">
      <alignment vertical="top"/>
      <protection/>
    </xf>
    <xf numFmtId="0" fontId="82" fillId="0" borderId="10" xfId="0" applyFont="1" applyFill="1" applyBorder="1" applyAlignment="1">
      <alignment horizontal="left" vertical="center" wrapText="1"/>
    </xf>
    <xf numFmtId="3" fontId="6" fillId="0" borderId="10" xfId="95" applyNumberFormat="1" applyFont="1" applyFill="1" applyBorder="1" applyAlignment="1" quotePrefix="1">
      <alignment vertical="top"/>
      <protection/>
    </xf>
    <xf numFmtId="3" fontId="6" fillId="0" borderId="10" xfId="95" applyNumberFormat="1" applyFont="1" applyFill="1" applyBorder="1" applyAlignment="1">
      <alignment vertical="top"/>
      <protection/>
    </xf>
    <xf numFmtId="0" fontId="6" fillId="0" borderId="0" xfId="106" applyFont="1" applyFill="1">
      <alignment/>
      <protection/>
    </xf>
    <xf numFmtId="3" fontId="5" fillId="0" borderId="0" xfId="106" applyNumberFormat="1" applyFont="1" applyFill="1">
      <alignment/>
      <protection/>
    </xf>
    <xf numFmtId="0" fontId="77" fillId="0" borderId="10" xfId="95" applyFont="1" applyFill="1" applyBorder="1" applyAlignment="1">
      <alignment vertical="top"/>
      <protection/>
    </xf>
    <xf numFmtId="0" fontId="80" fillId="0" borderId="10" xfId="106" applyFont="1" applyFill="1" applyBorder="1" applyAlignment="1">
      <alignment horizontal="center"/>
      <protection/>
    </xf>
    <xf numFmtId="0" fontId="80" fillId="0" borderId="10" xfId="95" applyFont="1" applyFill="1" applyBorder="1" applyAlignment="1">
      <alignment vertical="top"/>
      <protection/>
    </xf>
    <xf numFmtId="3" fontId="4" fillId="0" borderId="10" xfId="95" applyNumberFormat="1" applyFont="1" applyFill="1" applyBorder="1" applyAlignment="1">
      <alignment vertical="top"/>
      <protection/>
    </xf>
    <xf numFmtId="0" fontId="80" fillId="0" borderId="0" xfId="106" applyFont="1" applyFill="1">
      <alignment/>
      <protection/>
    </xf>
    <xf numFmtId="0" fontId="77" fillId="0" borderId="10" xfId="106" applyFont="1" applyFill="1" applyBorder="1" applyAlignment="1">
      <alignment horizontal="center"/>
      <protection/>
    </xf>
    <xf numFmtId="0" fontId="4" fillId="0" borderId="10" xfId="95" applyFont="1" applyFill="1" applyBorder="1" applyAlignment="1">
      <alignment vertical="top"/>
      <protection/>
    </xf>
    <xf numFmtId="0" fontId="79" fillId="0" borderId="10" xfId="106" applyFont="1" applyFill="1" applyBorder="1" applyAlignment="1">
      <alignment horizontal="center"/>
      <protection/>
    </xf>
    <xf numFmtId="0" fontId="79" fillId="0" borderId="10" xfId="95" applyFont="1" applyFill="1" applyBorder="1" applyAlignment="1">
      <alignment horizontal="left" vertical="top" wrapText="1"/>
      <protection/>
    </xf>
    <xf numFmtId="3" fontId="79" fillId="0" borderId="10" xfId="95" applyNumberFormat="1" applyFont="1" applyFill="1" applyBorder="1" applyAlignment="1">
      <alignment horizontal="right" vertical="top"/>
      <protection/>
    </xf>
    <xf numFmtId="0" fontId="79" fillId="0" borderId="0" xfId="106" applyFont="1" applyFill="1">
      <alignment/>
      <protection/>
    </xf>
    <xf numFmtId="3" fontId="6" fillId="0" borderId="10" xfId="95" applyNumberFormat="1" applyFont="1" applyFill="1" applyBorder="1" applyAlignment="1">
      <alignment horizontal="right" vertical="top"/>
      <protection/>
    </xf>
    <xf numFmtId="3" fontId="4" fillId="0" borderId="10" xfId="106" applyNumberFormat="1" applyFont="1" applyFill="1" applyBorder="1">
      <alignment/>
      <protection/>
    </xf>
    <xf numFmtId="3" fontId="5" fillId="0" borderId="10" xfId="95" applyNumberFormat="1" applyFont="1" applyFill="1" applyBorder="1" applyAlignment="1">
      <alignment horizontal="right" vertical="top"/>
      <protection/>
    </xf>
    <xf numFmtId="3" fontId="4" fillId="0" borderId="10" xfId="106" applyNumberFormat="1" applyFont="1" applyFill="1" applyBorder="1" applyAlignment="1">
      <alignment horizontal="right"/>
      <protection/>
    </xf>
    <xf numFmtId="0" fontId="79" fillId="0" borderId="10" xfId="106" applyFont="1" applyFill="1" applyBorder="1" applyAlignment="1">
      <alignment horizontal="center" vertical="top"/>
      <protection/>
    </xf>
    <xf numFmtId="3" fontId="79" fillId="0" borderId="10" xfId="106" applyNumberFormat="1" applyFont="1" applyFill="1" applyBorder="1" applyAlignment="1">
      <alignment vertical="top"/>
      <protection/>
    </xf>
    <xf numFmtId="0" fontId="79" fillId="0" borderId="0" xfId="106" applyFont="1" applyFill="1" applyAlignment="1">
      <alignment vertical="top"/>
      <protection/>
    </xf>
    <xf numFmtId="3" fontId="4" fillId="0" borderId="10" xfId="95" applyNumberFormat="1" applyFont="1" applyFill="1" applyBorder="1" applyAlignment="1">
      <alignment horizontal="right" vertical="top"/>
      <protection/>
    </xf>
    <xf numFmtId="0" fontId="4" fillId="0" borderId="10" xfId="106" applyFont="1" applyFill="1" applyBorder="1" applyAlignment="1">
      <alignment horizontal="center"/>
      <protection/>
    </xf>
    <xf numFmtId="0" fontId="4" fillId="0" borderId="10" xfId="95" applyFont="1" applyFill="1" applyBorder="1" applyAlignment="1">
      <alignment horizontal="left" vertical="top"/>
      <protection/>
    </xf>
    <xf numFmtId="0" fontId="4" fillId="0" borderId="0" xfId="106" applyFont="1" applyFill="1">
      <alignment/>
      <protection/>
    </xf>
    <xf numFmtId="3" fontId="80" fillId="0" borderId="10" xfId="95" applyNumberFormat="1" applyFont="1" applyFill="1" applyBorder="1" applyAlignment="1">
      <alignment horizontal="right" vertical="top"/>
      <protection/>
    </xf>
    <xf numFmtId="0" fontId="84" fillId="0" borderId="10" xfId="95" applyFont="1" applyFill="1" applyBorder="1" applyAlignment="1">
      <alignment horizontal="left" vertical="top" wrapText="1"/>
      <protection/>
    </xf>
    <xf numFmtId="0" fontId="85" fillId="0" borderId="0" xfId="106" applyFont="1" applyFill="1" applyAlignment="1">
      <alignment horizontal="right"/>
      <protection/>
    </xf>
    <xf numFmtId="0" fontId="28" fillId="0" borderId="0" xfId="106" applyFont="1" applyFill="1" applyAlignment="1">
      <alignment/>
      <protection/>
    </xf>
    <xf numFmtId="0" fontId="86" fillId="0" borderId="0" xfId="106" applyFont="1" applyFill="1" applyAlignment="1">
      <alignment horizontal="right"/>
      <protection/>
    </xf>
    <xf numFmtId="0" fontId="28" fillId="0" borderId="0" xfId="106" applyFont="1" applyFill="1" applyAlignment="1">
      <alignment horizontal="right"/>
      <protection/>
    </xf>
    <xf numFmtId="0" fontId="87" fillId="0" borderId="10" xfId="0" applyFont="1" applyFill="1" applyBorder="1" applyAlignment="1">
      <alignment horizontal="left" vertical="center" wrapText="1"/>
    </xf>
    <xf numFmtId="0" fontId="30" fillId="0" borderId="0" xfId="106" applyFont="1" applyFill="1" applyAlignment="1">
      <alignment/>
      <protection/>
    </xf>
    <xf numFmtId="0" fontId="87" fillId="0" borderId="0" xfId="106" applyFont="1" applyFill="1" applyAlignment="1">
      <alignment horizontal="centerContinuous"/>
      <protection/>
    </xf>
    <xf numFmtId="3" fontId="87" fillId="0" borderId="0" xfId="106" applyNumberFormat="1" applyFont="1" applyFill="1" applyAlignment="1">
      <alignment horizontal="right"/>
      <protection/>
    </xf>
    <xf numFmtId="0" fontId="87" fillId="0" borderId="0" xfId="106" applyFont="1" applyFill="1" applyAlignment="1">
      <alignment horizontal="right"/>
      <protection/>
    </xf>
    <xf numFmtId="0" fontId="87" fillId="0" borderId="0" xfId="106" applyFont="1" applyFill="1" applyAlignment="1">
      <alignment/>
      <protection/>
    </xf>
    <xf numFmtId="0" fontId="88" fillId="0" borderId="0" xfId="106" applyFont="1" applyFill="1">
      <alignment/>
      <protection/>
    </xf>
    <xf numFmtId="0" fontId="89" fillId="0" borderId="11" xfId="106" applyFont="1" applyFill="1" applyBorder="1" applyAlignment="1">
      <alignment horizontal="center" vertical="top" wrapText="1"/>
      <protection/>
    </xf>
    <xf numFmtId="0" fontId="89" fillId="0" borderId="10" xfId="106" applyFont="1" applyFill="1" applyBorder="1" applyAlignment="1">
      <alignment horizontal="center" vertical="top" wrapText="1"/>
      <protection/>
    </xf>
    <xf numFmtId="0" fontId="35" fillId="0" borderId="10" xfId="0" applyFont="1" applyFill="1" applyBorder="1" applyAlignment="1">
      <alignment horizontal="center" vertical="top" wrapText="1"/>
    </xf>
    <xf numFmtId="0" fontId="35" fillId="0" borderId="10" xfId="106" applyFont="1" applyFill="1" applyBorder="1" applyAlignment="1">
      <alignment horizontal="center" vertical="top" wrapText="1"/>
      <protection/>
    </xf>
    <xf numFmtId="0" fontId="89" fillId="0" borderId="10" xfId="99" applyFont="1" applyFill="1" applyBorder="1" applyAlignment="1">
      <alignment horizontal="center" vertical="top" wrapText="1"/>
      <protection/>
    </xf>
    <xf numFmtId="0" fontId="35" fillId="0" borderId="11" xfId="106" applyFont="1" applyFill="1" applyBorder="1" applyAlignment="1">
      <alignment horizontal="center" vertical="top" wrapText="1"/>
      <protection/>
    </xf>
    <xf numFmtId="0" fontId="88" fillId="0" borderId="10" xfId="106" applyFont="1" applyFill="1" applyBorder="1" applyAlignment="1" quotePrefix="1">
      <alignment horizontal="center"/>
      <protection/>
    </xf>
    <xf numFmtId="0" fontId="90" fillId="0" borderId="0" xfId="106" applyFont="1" applyFill="1" applyAlignment="1">
      <alignment/>
      <protection/>
    </xf>
    <xf numFmtId="0" fontId="37" fillId="0" borderId="0" xfId="106" applyFont="1" applyFill="1" applyAlignment="1">
      <alignment/>
      <protection/>
    </xf>
    <xf numFmtId="0" fontId="91" fillId="0" borderId="0" xfId="106" applyFont="1" applyFill="1" applyAlignment="1">
      <alignment horizontal="right"/>
      <protection/>
    </xf>
    <xf numFmtId="0" fontId="37" fillId="0" borderId="0" xfId="106" applyFont="1" applyFill="1" applyAlignment="1">
      <alignment horizontal="right"/>
      <protection/>
    </xf>
    <xf numFmtId="0" fontId="92" fillId="0" borderId="0" xfId="106" applyFont="1" applyFill="1" applyAlignment="1">
      <alignment horizontal="centerContinuous"/>
      <protection/>
    </xf>
    <xf numFmtId="0" fontId="93" fillId="0" borderId="0" xfId="106" applyFont="1" applyFill="1" applyAlignment="1">
      <alignment horizontal="centerContinuous"/>
      <protection/>
    </xf>
    <xf numFmtId="0" fontId="93" fillId="0" borderId="0" xfId="106" applyFont="1" applyFill="1" applyAlignment="1">
      <alignment/>
      <protection/>
    </xf>
    <xf numFmtId="0" fontId="41" fillId="33" borderId="0" xfId="106" applyFont="1" applyFill="1" applyAlignment="1">
      <alignment horizontal="right"/>
      <protection/>
    </xf>
    <xf numFmtId="0" fontId="94" fillId="0" borderId="0" xfId="106" applyFont="1" applyFill="1">
      <alignment/>
      <protection/>
    </xf>
    <xf numFmtId="0" fontId="95" fillId="0" borderId="0" xfId="106" applyFont="1" applyFill="1">
      <alignment/>
      <protection/>
    </xf>
    <xf numFmtId="0" fontId="96" fillId="0" borderId="0" xfId="106" applyFont="1" applyFill="1" applyAlignment="1">
      <alignment/>
      <protection/>
    </xf>
    <xf numFmtId="172" fontId="87" fillId="0" borderId="0" xfId="106" applyNumberFormat="1" applyFont="1" applyFill="1" applyAlignment="1">
      <alignment horizontal="right"/>
      <protection/>
    </xf>
    <xf numFmtId="3" fontId="97" fillId="0" borderId="0" xfId="106" applyNumberFormat="1" applyFont="1" applyFill="1">
      <alignment/>
      <protection/>
    </xf>
    <xf numFmtId="3" fontId="87" fillId="0" borderId="0" xfId="106" applyNumberFormat="1" applyFont="1" applyFill="1" applyAlignment="1">
      <alignment horizontal="centerContinuous"/>
      <protection/>
    </xf>
    <xf numFmtId="0" fontId="89" fillId="0" borderId="11" xfId="106" applyFont="1" applyFill="1" applyBorder="1" applyAlignment="1">
      <alignment horizontal="center" vertical="top"/>
      <protection/>
    </xf>
    <xf numFmtId="0" fontId="35" fillId="0" borderId="0" xfId="106" applyFont="1" applyFill="1" applyAlignment="1">
      <alignment horizontal="center" vertical="top"/>
      <protection/>
    </xf>
    <xf numFmtId="3" fontId="90" fillId="0" borderId="0" xfId="106" applyNumberFormat="1" applyFont="1" applyFill="1" applyAlignment="1">
      <alignment/>
      <protection/>
    </xf>
    <xf numFmtId="3" fontId="88" fillId="0" borderId="10" xfId="106" applyNumberFormat="1" applyFont="1" applyFill="1" applyBorder="1" applyAlignment="1">
      <alignment horizontal="center"/>
      <protection/>
    </xf>
    <xf numFmtId="3" fontId="88" fillId="0" borderId="10" xfId="106" applyNumberFormat="1" applyFont="1" applyFill="1" applyBorder="1" applyAlignment="1" quotePrefix="1">
      <alignment horizontal="center"/>
      <protection/>
    </xf>
    <xf numFmtId="3" fontId="88" fillId="0" borderId="10" xfId="106" applyNumberFormat="1" applyFont="1" applyFill="1" applyBorder="1">
      <alignment/>
      <protection/>
    </xf>
    <xf numFmtId="3" fontId="6" fillId="0" borderId="10" xfId="106" applyNumberFormat="1" applyFont="1" applyFill="1" applyBorder="1">
      <alignment/>
      <protection/>
    </xf>
    <xf numFmtId="3" fontId="80" fillId="0" borderId="10" xfId="106" applyNumberFormat="1" applyFont="1" applyFill="1" applyBorder="1">
      <alignment/>
      <protection/>
    </xf>
    <xf numFmtId="3" fontId="77" fillId="0" borderId="10" xfId="106" applyNumberFormat="1" applyFont="1" applyFill="1" applyBorder="1">
      <alignment/>
      <protection/>
    </xf>
    <xf numFmtId="3" fontId="79" fillId="0" borderId="10" xfId="106" applyNumberFormat="1" applyFont="1" applyFill="1" applyBorder="1">
      <alignment/>
      <protection/>
    </xf>
    <xf numFmtId="3" fontId="79" fillId="0" borderId="10" xfId="42" applyNumberFormat="1" applyFont="1" applyFill="1" applyBorder="1" applyAlignment="1">
      <alignment vertical="top"/>
    </xf>
    <xf numFmtId="3" fontId="82" fillId="0" borderId="10" xfId="106" applyNumberFormat="1" applyFont="1" applyFill="1" applyBorder="1">
      <alignment/>
      <protection/>
    </xf>
    <xf numFmtId="0" fontId="80" fillId="0" borderId="10" xfId="95" applyFont="1" applyFill="1" applyBorder="1" applyAlignment="1">
      <alignment vertical="top" wrapText="1"/>
      <protection/>
    </xf>
    <xf numFmtId="0" fontId="4" fillId="0" borderId="10" xfId="95" applyFont="1" applyFill="1" applyBorder="1" applyAlignment="1">
      <alignment vertical="top" wrapText="1"/>
      <protection/>
    </xf>
    <xf numFmtId="0" fontId="26" fillId="0" borderId="0" xfId="106" applyFont="1" applyFill="1" applyAlignment="1">
      <alignment horizontal="center"/>
      <protection/>
    </xf>
    <xf numFmtId="0" fontId="90" fillId="0" borderId="0" xfId="106" applyFont="1" applyFill="1" applyAlignment="1">
      <alignment horizontal="center"/>
      <protection/>
    </xf>
  </cellXfs>
  <cellStyles count="11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omma [0] 3" xfId="46"/>
    <cellStyle name="Comma [0] 4" xfId="47"/>
    <cellStyle name="Comma [0] 5" xfId="48"/>
    <cellStyle name="Comma [0] 6" xfId="49"/>
    <cellStyle name="Comma [0] 7" xfId="50"/>
    <cellStyle name="Comma 10" xfId="51"/>
    <cellStyle name="Comma 11" xfId="52"/>
    <cellStyle name="Comma 12" xfId="53"/>
    <cellStyle name="Comma 2" xfId="54"/>
    <cellStyle name="Comma 2 2" xfId="55"/>
    <cellStyle name="Comma 2 2 2" xfId="56"/>
    <cellStyle name="Comma 2 3" xfId="57"/>
    <cellStyle name="Comma 2 4" xfId="58"/>
    <cellStyle name="Comma 3" xfId="59"/>
    <cellStyle name="Comma 4" xfId="60"/>
    <cellStyle name="Comma 4 2" xfId="61"/>
    <cellStyle name="Comma 5" xfId="62"/>
    <cellStyle name="Comma 6" xfId="63"/>
    <cellStyle name="Comma 6 2" xfId="64"/>
    <cellStyle name="Comma 7" xfId="65"/>
    <cellStyle name="Comma 8" xfId="66"/>
    <cellStyle name="Comma 9" xfId="67"/>
    <cellStyle name="Comma0" xfId="68"/>
    <cellStyle name="Currency" xfId="69"/>
    <cellStyle name="Currency [0]" xfId="70"/>
    <cellStyle name="Currency0" xfId="71"/>
    <cellStyle name="Date" xfId="72"/>
    <cellStyle name="Explanatory Text" xfId="73"/>
    <cellStyle name="Fixed" xfId="74"/>
    <cellStyle name="Good" xfId="75"/>
    <cellStyle name="Heading 1" xfId="76"/>
    <cellStyle name="Heading 2" xfId="77"/>
    <cellStyle name="Heading 3" xfId="78"/>
    <cellStyle name="Heading 4" xfId="79"/>
    <cellStyle name="Input" xfId="80"/>
    <cellStyle name="lama" xfId="81"/>
    <cellStyle name="Linked Cell" xfId="82"/>
    <cellStyle name="Neutral" xfId="83"/>
    <cellStyle name="Normal 10" xfId="84"/>
    <cellStyle name="Normal 11" xfId="85"/>
    <cellStyle name="Normal 12" xfId="86"/>
    <cellStyle name="Normal 13" xfId="87"/>
    <cellStyle name="Normal 2" xfId="88"/>
    <cellStyle name="Normal 2 2" xfId="89"/>
    <cellStyle name="Normal 2 2 2" xfId="90"/>
    <cellStyle name="Normal 2 3" xfId="91"/>
    <cellStyle name="Normal 3" xfId="92"/>
    <cellStyle name="Normal 3 2" xfId="93"/>
    <cellStyle name="Normal 3 3" xfId="94"/>
    <cellStyle name="Normal 4" xfId="95"/>
    <cellStyle name="Normal 4 2" xfId="96"/>
    <cellStyle name="Normal 5" xfId="97"/>
    <cellStyle name="Normal 5 2" xfId="98"/>
    <cellStyle name="Normal 50" xfId="99"/>
    <cellStyle name="Normal 6" xfId="100"/>
    <cellStyle name="Normal 6 2" xfId="101"/>
    <cellStyle name="Normal 6 3" xfId="102"/>
    <cellStyle name="Normal 7" xfId="103"/>
    <cellStyle name="Normal 8" xfId="104"/>
    <cellStyle name="Normal 9" xfId="105"/>
    <cellStyle name="Normal_XL khac nhau HCSN 2013-H_goc" xfId="106"/>
    <cellStyle name="Note" xfId="107"/>
    <cellStyle name="Output" xfId="108"/>
    <cellStyle name="Percent" xfId="109"/>
    <cellStyle name="Percent 2" xfId="110"/>
    <cellStyle name="Title" xfId="111"/>
    <cellStyle name="Total" xfId="112"/>
    <cellStyle name="Warning Text" xfId="113"/>
    <cellStyle name="똿뗦먛귟 [0.00]_PRODUCT DETAIL Q1" xfId="114"/>
    <cellStyle name="똿뗦먛귟_PRODUCT DETAIL Q1" xfId="115"/>
    <cellStyle name="믅됞 [0.00]_PRODUCT DETAIL Q1" xfId="116"/>
    <cellStyle name="믅됞_PRODUCT DETAIL Q1" xfId="117"/>
    <cellStyle name="백분율_HOBONG" xfId="118"/>
    <cellStyle name="뷭?_BOOKSHIP" xfId="119"/>
    <cellStyle name="콤마 [0]_1202" xfId="120"/>
    <cellStyle name="콤마_1202" xfId="121"/>
    <cellStyle name="통화 [0]_1202" xfId="122"/>
    <cellStyle name="통화_1202" xfId="123"/>
    <cellStyle name="표준_(정보부문)월별인원계획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wnloads\Du%20toan%202022\Tu%20Quyen-b&#7843;ng%20ph&#226;n%20b&#7893;%20n&#259;m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wnloads\Du%20toan%202022\Phan%20bo%20DT%202022-cnhung-10-0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wnloads\Du%20toan%202022\Tu%20Quyen-Du%20toan%202022%20-%20khoi%20HCSN.(b&#7843;ng%20ch&#237;nh%20th&#7913;c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C-STC\BS%20Du%20toan\Nam%202022\Dieu%20chinh%20du%20toan%20NQ04-2022\PL%20DCDT%202022-H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wnloads\Du%20toan%202022\Phan%20bo%20DT%202022-chinh%20lai%20QLHC-P16-10-01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wnloads\Du%20toan%202022\CNhung-Phan%20bo%20DT%202022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wnloads\Du%20toan%202022\TQ-07-01-22-b&#7843;ng%20ph&#226;n%20b&#7891;%20n&#259;m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-ThuChi-Bieu04"/>
      <sheetName val="kpgiao_hc_2022(x)"/>
      <sheetName val="Phân bổ 2022"/>
    </sheetNames>
    <sheetDataSet>
      <sheetData sheetId="2">
        <row r="20">
          <cell r="F20">
            <v>119186</v>
          </cell>
        </row>
        <row r="21">
          <cell r="F21">
            <v>85800</v>
          </cell>
        </row>
        <row r="22">
          <cell r="F22">
            <v>1750</v>
          </cell>
        </row>
        <row r="23">
          <cell r="F23">
            <v>59953</v>
          </cell>
        </row>
        <row r="27">
          <cell r="F27">
            <v>206871</v>
          </cell>
        </row>
        <row r="30">
          <cell r="F30">
            <v>96432</v>
          </cell>
        </row>
        <row r="48">
          <cell r="T48">
            <v>0</v>
          </cell>
        </row>
        <row r="49">
          <cell r="T4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n boi thuong"/>
      <sheetName val="khoi phuong"/>
    </sheetNames>
    <sheetDataSet>
      <sheetData sheetId="1">
        <row r="20">
          <cell r="F20">
            <v>37500</v>
          </cell>
          <cell r="G20">
            <v>48000</v>
          </cell>
          <cell r="H20">
            <v>33000</v>
          </cell>
          <cell r="I20">
            <v>81000</v>
          </cell>
          <cell r="J20">
            <v>31500</v>
          </cell>
          <cell r="K20">
            <v>31500</v>
          </cell>
          <cell r="L20">
            <v>33000</v>
          </cell>
          <cell r="M20">
            <v>24000</v>
          </cell>
          <cell r="N20">
            <v>36000</v>
          </cell>
          <cell r="O20">
            <v>25500</v>
          </cell>
          <cell r="P20">
            <v>16500</v>
          </cell>
          <cell r="Q20">
            <v>45000</v>
          </cell>
          <cell r="R20">
            <v>28500</v>
          </cell>
          <cell r="S20">
            <v>39000</v>
          </cell>
          <cell r="T20">
            <v>54000</v>
          </cell>
          <cell r="U20">
            <v>69000</v>
          </cell>
        </row>
        <row r="23">
          <cell r="F23">
            <v>225000</v>
          </cell>
          <cell r="G23">
            <v>255000</v>
          </cell>
          <cell r="H23">
            <v>420000</v>
          </cell>
          <cell r="I23">
            <v>420000</v>
          </cell>
          <cell r="J23">
            <v>345000</v>
          </cell>
          <cell r="K23">
            <v>105000</v>
          </cell>
          <cell r="L23">
            <v>195000</v>
          </cell>
          <cell r="M23">
            <v>135000</v>
          </cell>
          <cell r="N23">
            <v>165000</v>
          </cell>
          <cell r="O23">
            <v>150000</v>
          </cell>
          <cell r="P23">
            <v>75000</v>
          </cell>
          <cell r="Q23">
            <v>157500</v>
          </cell>
          <cell r="R23">
            <v>97500</v>
          </cell>
          <cell r="S23">
            <v>120000</v>
          </cell>
          <cell r="T23">
            <v>270000</v>
          </cell>
          <cell r="U23">
            <v>300000</v>
          </cell>
        </row>
        <row r="28">
          <cell r="F28">
            <v>262500</v>
          </cell>
          <cell r="G28">
            <v>303000</v>
          </cell>
          <cell r="H28">
            <v>453000</v>
          </cell>
          <cell r="I28">
            <v>501000</v>
          </cell>
          <cell r="J28">
            <v>376500</v>
          </cell>
          <cell r="K28">
            <v>136500</v>
          </cell>
          <cell r="L28">
            <v>228000</v>
          </cell>
          <cell r="M28">
            <v>159000</v>
          </cell>
          <cell r="N28">
            <v>201000</v>
          </cell>
          <cell r="O28">
            <v>175500</v>
          </cell>
          <cell r="P28">
            <v>91500</v>
          </cell>
          <cell r="Q28">
            <v>202500</v>
          </cell>
          <cell r="R28">
            <v>126000</v>
          </cell>
          <cell r="S28">
            <v>159000</v>
          </cell>
          <cell r="T28">
            <v>324000</v>
          </cell>
          <cell r="U28">
            <v>369000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T-ThuChi-Bieu04"/>
      <sheetName val="kpgiao_hc_2022(x)"/>
      <sheetName val="DT-ThuChiSN-2022 (x)"/>
      <sheetName val="ThuyetMinh KTC-2022 (x)"/>
      <sheetName val="DT2022-HC"/>
      <sheetName val="TK-2022-TX-KTX"/>
      <sheetName val="Phân bổ 2022"/>
      <sheetName val="VPUBND 2022"/>
      <sheetName val="QLĐT 2022"/>
      <sheetName val="TNMT 2022"/>
      <sheetName val="Y tế 2022"/>
      <sheetName val="KT 2022"/>
      <sheetName val="GDDT 2022"/>
      <sheetName val="LĐTBXH 2022"/>
      <sheetName val="VHTT 2022"/>
      <sheetName val="NV 2022"/>
      <sheetName val="TT 2022"/>
      <sheetName val="PTP 2022"/>
      <sheetName val="PTC 2022"/>
      <sheetName val="TTVH-TT 2022"/>
      <sheetName val="NTN 2022"/>
      <sheetName val="TTBDCT 2022"/>
      <sheetName val="Sheet1"/>
    </sheetNames>
    <sheetDataSet>
      <sheetData sheetId="7">
        <row r="29">
          <cell r="E29">
            <v>100000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1"/>
      <sheetName val="PL2"/>
      <sheetName val="PL3"/>
    </sheetNames>
    <sheetDataSet>
      <sheetData sheetId="0">
        <row r="10">
          <cell r="E10">
            <v>303318000</v>
          </cell>
          <cell r="G10">
            <v>1199440000</v>
          </cell>
          <cell r="L10">
            <v>303318000</v>
          </cell>
        </row>
        <row r="13">
          <cell r="G13">
            <v>50000000</v>
          </cell>
        </row>
        <row r="14">
          <cell r="G14">
            <v>28834000</v>
          </cell>
        </row>
        <row r="16">
          <cell r="G16">
            <v>50000000</v>
          </cell>
        </row>
        <row r="17">
          <cell r="G17">
            <v>10000000</v>
          </cell>
        </row>
        <row r="19">
          <cell r="G19">
            <v>31000000</v>
          </cell>
        </row>
        <row r="20">
          <cell r="G20">
            <v>41350000</v>
          </cell>
        </row>
        <row r="25">
          <cell r="M25">
            <v>113318000</v>
          </cell>
        </row>
      </sheetData>
      <sheetData sheetId="2">
        <row r="50">
          <cell r="C50">
            <v>124803000</v>
          </cell>
        </row>
        <row r="51">
          <cell r="C51">
            <v>426154000</v>
          </cell>
        </row>
        <row r="52">
          <cell r="C52">
            <v>863718000</v>
          </cell>
        </row>
        <row r="53">
          <cell r="C53">
            <v>131862000</v>
          </cell>
        </row>
        <row r="54">
          <cell r="C54">
            <v>343345000</v>
          </cell>
        </row>
        <row r="55">
          <cell r="L55">
            <v>338590758.0000003</v>
          </cell>
        </row>
        <row r="56">
          <cell r="L56">
            <v>382546440.00000006</v>
          </cell>
        </row>
        <row r="57">
          <cell r="L57">
            <v>441783000</v>
          </cell>
        </row>
        <row r="58">
          <cell r="L58">
            <v>334851000</v>
          </cell>
        </row>
        <row r="59">
          <cell r="L59">
            <v>288205000</v>
          </cell>
        </row>
        <row r="60">
          <cell r="L60">
            <v>90478000</v>
          </cell>
        </row>
        <row r="61">
          <cell r="L61">
            <v>173667000</v>
          </cell>
        </row>
        <row r="62">
          <cell r="L62">
            <v>37555000</v>
          </cell>
        </row>
        <row r="63">
          <cell r="L63">
            <v>260293000</v>
          </cell>
        </row>
        <row r="64">
          <cell r="L64">
            <v>158768000</v>
          </cell>
        </row>
        <row r="65">
          <cell r="L65">
            <v>307850000</v>
          </cell>
        </row>
        <row r="66">
          <cell r="L66">
            <v>1507000</v>
          </cell>
        </row>
        <row r="67">
          <cell r="L67">
            <v>226549000</v>
          </cell>
        </row>
        <row r="69">
          <cell r="C69">
            <v>58000000</v>
          </cell>
        </row>
        <row r="70">
          <cell r="C70">
            <v>1596000000</v>
          </cell>
        </row>
        <row r="71">
          <cell r="C71">
            <v>273000000</v>
          </cell>
        </row>
        <row r="72">
          <cell r="C72">
            <v>392000000</v>
          </cell>
        </row>
        <row r="73">
          <cell r="C73">
            <v>352000000</v>
          </cell>
        </row>
        <row r="74">
          <cell r="C74">
            <v>376000000</v>
          </cell>
        </row>
        <row r="75">
          <cell r="L75">
            <v>309000000</v>
          </cell>
        </row>
        <row r="76">
          <cell r="L76">
            <v>430000000</v>
          </cell>
        </row>
        <row r="77">
          <cell r="L77">
            <v>73000000</v>
          </cell>
        </row>
        <row r="78">
          <cell r="L78">
            <v>383000000</v>
          </cell>
        </row>
        <row r="79">
          <cell r="L79">
            <v>620000000</v>
          </cell>
        </row>
        <row r="80">
          <cell r="L80">
            <v>540000000</v>
          </cell>
        </row>
        <row r="81">
          <cell r="L81">
            <v>559000000</v>
          </cell>
        </row>
        <row r="82">
          <cell r="L82">
            <v>1650000000</v>
          </cell>
        </row>
        <row r="83">
          <cell r="L83">
            <v>193000000</v>
          </cell>
        </row>
        <row r="84">
          <cell r="L84">
            <v>434000000</v>
          </cell>
        </row>
        <row r="85">
          <cell r="L85">
            <v>572000000</v>
          </cell>
        </row>
        <row r="86">
          <cell r="L86">
            <v>157000000</v>
          </cell>
        </row>
        <row r="87">
          <cell r="L87">
            <v>63000000</v>
          </cell>
        </row>
        <row r="88">
          <cell r="L88">
            <v>214000000</v>
          </cell>
        </row>
        <row r="89">
          <cell r="L89">
            <v>366000000</v>
          </cell>
        </row>
        <row r="90">
          <cell r="L90">
            <v>66000000</v>
          </cell>
        </row>
        <row r="92">
          <cell r="C92">
            <v>509000000</v>
          </cell>
        </row>
        <row r="93">
          <cell r="C93">
            <v>299000000</v>
          </cell>
        </row>
        <row r="94">
          <cell r="C94">
            <v>15000000</v>
          </cell>
        </row>
        <row r="95">
          <cell r="L95">
            <v>326000000</v>
          </cell>
        </row>
        <row r="96">
          <cell r="L96">
            <v>586000000</v>
          </cell>
        </row>
        <row r="97">
          <cell r="L97">
            <v>1162500000</v>
          </cell>
        </row>
        <row r="98">
          <cell r="L98">
            <v>555000000</v>
          </cell>
        </row>
        <row r="99">
          <cell r="L99">
            <v>528000000</v>
          </cell>
        </row>
        <row r="100">
          <cell r="L100">
            <v>918036802</v>
          </cell>
        </row>
        <row r="101">
          <cell r="L101">
            <v>922000000</v>
          </cell>
        </row>
        <row r="102">
          <cell r="L102">
            <v>148000000</v>
          </cell>
        </row>
        <row r="103">
          <cell r="L103">
            <v>2366000000</v>
          </cell>
        </row>
        <row r="104">
          <cell r="C104">
            <v>126000000</v>
          </cell>
        </row>
        <row r="105">
          <cell r="C105">
            <v>666000000</v>
          </cell>
        </row>
        <row r="109">
          <cell r="K109">
            <v>564102476</v>
          </cell>
        </row>
        <row r="110">
          <cell r="K110">
            <v>500897524</v>
          </cell>
        </row>
        <row r="111">
          <cell r="K111">
            <v>104000000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n boi thuong"/>
      <sheetName val="khoi phuong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n boi thuong"/>
      <sheetName val="khoi phuong"/>
    </sheetNames>
    <sheetDataSet>
      <sheetData sheetId="1">
        <row r="89">
          <cell r="F89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T-ThuChi-Bieu04"/>
      <sheetName val="kpgiao_hc_2022(x)"/>
      <sheetName val="Phân bổ 20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CY92"/>
  <sheetViews>
    <sheetView showGridLines="0" showZeros="0"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00390625" defaultRowHeight="15.75"/>
  <cols>
    <col min="1" max="1" width="3.50390625" style="4" customWidth="1"/>
    <col min="2" max="2" width="33.00390625" style="4" customWidth="1"/>
    <col min="3" max="3" width="7.50390625" style="4" customWidth="1"/>
    <col min="4" max="4" width="10.375" style="15" customWidth="1"/>
    <col min="5" max="5" width="8.375" style="15" customWidth="1"/>
    <col min="6" max="6" width="11.625" style="8" customWidth="1"/>
    <col min="7" max="7" width="7.00390625" style="8" customWidth="1"/>
    <col min="8" max="8" width="9.375" style="8" customWidth="1"/>
    <col min="9" max="9" width="13.125" style="8" customWidth="1"/>
    <col min="10" max="10" width="10.875" style="8" customWidth="1"/>
    <col min="11" max="11" width="16.375" style="8" customWidth="1"/>
    <col min="12" max="12" width="10.875" style="8" customWidth="1"/>
    <col min="13" max="13" width="8.125" style="8" customWidth="1"/>
    <col min="14" max="14" width="10.25390625" style="8" customWidth="1"/>
    <col min="15" max="15" width="14.875" style="8" customWidth="1"/>
    <col min="16" max="16" width="8.75390625" style="8" customWidth="1"/>
    <col min="17" max="17" width="11.50390625" style="8" hidden="1" customWidth="1"/>
    <col min="18" max="18" width="8.125" style="8" hidden="1" customWidth="1"/>
    <col min="19" max="19" width="14.50390625" style="8" hidden="1" customWidth="1"/>
    <col min="20" max="20" width="13.00390625" style="8" hidden="1" customWidth="1"/>
    <col min="21" max="21" width="12.625" style="8" hidden="1" customWidth="1"/>
    <col min="22" max="22" width="17.25390625" style="4" customWidth="1"/>
    <col min="23" max="23" width="10.125" style="4" customWidth="1"/>
    <col min="24" max="24" width="12.50390625" style="4" customWidth="1"/>
    <col min="25" max="25" width="12.00390625" style="4" customWidth="1"/>
    <col min="26" max="26" width="11.875" style="4" customWidth="1"/>
    <col min="27" max="27" width="11.625" style="4" customWidth="1"/>
    <col min="28" max="28" width="8.00390625" style="4" customWidth="1"/>
    <col min="29" max="29" width="11.50390625" style="4" customWidth="1"/>
    <col min="30" max="30" width="13.875" style="4" customWidth="1"/>
    <col min="31" max="31" width="11.50390625" style="4" customWidth="1"/>
    <col min="32" max="32" width="10.00390625" style="4" customWidth="1"/>
    <col min="33" max="33" width="11.375" style="4" customWidth="1"/>
    <col min="34" max="34" width="10.375" style="4" customWidth="1"/>
    <col min="35" max="35" width="9.75390625" style="4" customWidth="1"/>
    <col min="36" max="37" width="12.25390625" style="4" customWidth="1"/>
    <col min="38" max="38" width="11.50390625" style="4" customWidth="1"/>
    <col min="39" max="39" width="11.875" style="4" customWidth="1"/>
    <col min="40" max="40" width="10.875" style="4" customWidth="1"/>
    <col min="41" max="41" width="11.875" style="4" customWidth="1"/>
    <col min="42" max="42" width="12.125" style="4" customWidth="1"/>
    <col min="43" max="43" width="12.25390625" style="4" customWidth="1"/>
    <col min="44" max="46" width="12.375" style="4" customWidth="1"/>
    <col min="47" max="47" width="12.50390625" style="4" customWidth="1"/>
    <col min="48" max="48" width="12.00390625" style="4" customWidth="1"/>
    <col min="49" max="49" width="12.375" style="4" customWidth="1"/>
    <col min="50" max="50" width="12.625" style="4" customWidth="1"/>
    <col min="51" max="51" width="12.25390625" style="4" customWidth="1"/>
    <col min="52" max="52" width="13.25390625" style="4" customWidth="1"/>
    <col min="53" max="53" width="13.625" style="4" customWidth="1"/>
    <col min="54" max="54" width="13.125" style="4" customWidth="1"/>
    <col min="55" max="55" width="12.875" style="4" customWidth="1"/>
    <col min="56" max="56" width="14.375" style="4" customWidth="1"/>
    <col min="57" max="58" width="12.875" style="4" customWidth="1"/>
    <col min="59" max="59" width="14.50390625" style="4" customWidth="1"/>
    <col min="60" max="60" width="12.75390625" style="4" customWidth="1"/>
    <col min="61" max="61" width="13.50390625" style="4" customWidth="1"/>
    <col min="62" max="62" width="14.00390625" style="4" customWidth="1"/>
    <col min="63" max="63" width="12.375" style="4" customWidth="1"/>
    <col min="64" max="64" width="11.125" style="4" customWidth="1"/>
    <col min="65" max="65" width="14.25390625" style="4" customWidth="1"/>
    <col min="66" max="66" width="13.00390625" style="4" customWidth="1"/>
    <col min="67" max="67" width="13.125" style="4" customWidth="1"/>
    <col min="68" max="68" width="13.375" style="4" customWidth="1"/>
    <col min="69" max="69" width="12.75390625" style="4" customWidth="1"/>
    <col min="70" max="70" width="12.375" style="4" customWidth="1"/>
    <col min="71" max="71" width="13.00390625" style="4" customWidth="1"/>
    <col min="72" max="72" width="14.625" style="4" customWidth="1"/>
    <col min="73" max="73" width="12.25390625" style="4" customWidth="1"/>
    <col min="74" max="74" width="12.50390625" style="4" customWidth="1"/>
    <col min="75" max="75" width="13.25390625" style="4" customWidth="1"/>
    <col min="76" max="76" width="13.00390625" style="4" customWidth="1"/>
    <col min="77" max="77" width="13.875" style="4" customWidth="1"/>
    <col min="78" max="78" width="13.625" style="4" customWidth="1"/>
    <col min="79" max="79" width="15.00390625" style="4" customWidth="1"/>
    <col min="80" max="80" width="11.875" style="4" customWidth="1"/>
    <col min="81" max="81" width="13.375" style="4" customWidth="1"/>
    <col min="82" max="82" width="12.25390625" style="4" customWidth="1"/>
    <col min="83" max="83" width="14.00390625" style="4" customWidth="1"/>
    <col min="84" max="84" width="7.375" style="4" customWidth="1"/>
    <col min="85" max="85" width="12.00390625" style="4" customWidth="1"/>
    <col min="86" max="86" width="12.125" style="4" customWidth="1"/>
    <col min="87" max="87" width="11.50390625" style="4" customWidth="1"/>
    <col min="88" max="88" width="13.75390625" style="4" customWidth="1"/>
    <col min="89" max="89" width="13.00390625" style="4" customWidth="1"/>
    <col min="90" max="90" width="13.625" style="4" customWidth="1"/>
    <col min="91" max="91" width="10.375" style="4" customWidth="1"/>
    <col min="92" max="92" width="12.00390625" style="4" customWidth="1"/>
    <col min="93" max="93" width="11.50390625" style="4" customWidth="1"/>
    <col min="94" max="94" width="10.25390625" style="4" customWidth="1"/>
    <col min="95" max="95" width="11.00390625" style="4" customWidth="1"/>
    <col min="96" max="96" width="10.00390625" style="4" customWidth="1"/>
    <col min="97" max="97" width="19.125" style="4" customWidth="1"/>
    <col min="98" max="98" width="14.75390625" style="4" customWidth="1"/>
    <col min="99" max="99" width="10.625" style="4" customWidth="1"/>
    <col min="100" max="100" width="14.625" style="4" customWidth="1"/>
    <col min="101" max="101" width="12.625" style="4" customWidth="1"/>
    <col min="102" max="102" width="9.00390625" style="4" customWidth="1"/>
    <col min="103" max="103" width="13.125" style="4" customWidth="1"/>
    <col min="104" max="16384" width="9.00390625" style="4" customWidth="1"/>
  </cols>
  <sheetData>
    <row r="1" spans="1:84" s="53" customFormat="1" ht="15">
      <c r="A1" s="57" t="s">
        <v>4</v>
      </c>
      <c r="D1" s="52"/>
      <c r="E1" s="52"/>
      <c r="F1" s="54"/>
      <c r="G1" s="54"/>
      <c r="H1" s="54"/>
      <c r="I1" s="54"/>
      <c r="K1" s="54" t="s">
        <v>241</v>
      </c>
      <c r="L1" s="54"/>
      <c r="M1" s="54"/>
      <c r="N1" s="54"/>
      <c r="O1" s="54"/>
      <c r="P1" s="54"/>
      <c r="Q1" s="54"/>
      <c r="R1" s="54"/>
      <c r="S1" s="54"/>
      <c r="T1" s="54"/>
      <c r="U1" s="54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CF1" s="55"/>
    </row>
    <row r="2" spans="1:76" s="53" customFormat="1" ht="15">
      <c r="A2" s="53" t="s">
        <v>229</v>
      </c>
      <c r="D2" s="52"/>
      <c r="E2" s="52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</row>
    <row r="3" spans="1:76" s="71" customFormat="1" ht="16.5">
      <c r="A3" s="98" t="s">
        <v>249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72"/>
      <c r="M3" s="72"/>
      <c r="N3" s="72"/>
      <c r="O3" s="72"/>
      <c r="P3" s="72"/>
      <c r="Q3" s="72"/>
      <c r="R3" s="72"/>
      <c r="S3" s="72"/>
      <c r="T3" s="72"/>
      <c r="U3" s="72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</row>
    <row r="4" spans="1:76" s="71" customFormat="1" ht="16.5">
      <c r="A4" s="99" t="s">
        <v>254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72"/>
      <c r="M4" s="72"/>
      <c r="N4" s="72"/>
      <c r="O4" s="72"/>
      <c r="P4" s="72"/>
      <c r="Q4" s="72"/>
      <c r="R4" s="72"/>
      <c r="S4" s="72"/>
      <c r="T4" s="72"/>
      <c r="U4" s="72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</row>
    <row r="5" spans="1:84" s="76" customFormat="1" ht="16.5">
      <c r="A5" s="70"/>
      <c r="B5" s="70"/>
      <c r="C5" s="86"/>
      <c r="D5" s="70"/>
      <c r="E5" s="70"/>
      <c r="F5" s="70"/>
      <c r="G5" s="70"/>
      <c r="H5" s="70"/>
      <c r="I5" s="77"/>
      <c r="J5" s="77"/>
      <c r="K5" s="77" t="s">
        <v>247</v>
      </c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5"/>
      <c r="BZ5" s="75"/>
      <c r="CA5" s="75"/>
      <c r="CB5" s="75"/>
      <c r="CC5" s="75"/>
      <c r="CD5" s="75"/>
      <c r="CE5" s="75"/>
      <c r="CF5" s="75"/>
    </row>
    <row r="6" spans="1:98" s="61" customFormat="1" ht="15">
      <c r="A6" s="80"/>
      <c r="B6" s="58"/>
      <c r="C6" s="83"/>
      <c r="D6" s="81"/>
      <c r="E6" s="59"/>
      <c r="F6" s="59"/>
      <c r="G6" s="59"/>
      <c r="H6" s="77"/>
      <c r="I6" s="77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60"/>
      <c r="AB6" s="60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</row>
    <row r="7" spans="1:103" s="85" customFormat="1" ht="51" customHeight="1">
      <c r="A7" s="84" t="s">
        <v>5</v>
      </c>
      <c r="B7" s="68" t="s">
        <v>0</v>
      </c>
      <c r="C7" s="63" t="s">
        <v>243</v>
      </c>
      <c r="D7" s="63" t="s">
        <v>242</v>
      </c>
      <c r="E7" s="64" t="s">
        <v>85</v>
      </c>
      <c r="F7" s="64" t="s">
        <v>231</v>
      </c>
      <c r="G7" s="64" t="s">
        <v>88</v>
      </c>
      <c r="H7" s="64" t="s">
        <v>89</v>
      </c>
      <c r="I7" s="64" t="s">
        <v>90</v>
      </c>
      <c r="J7" s="64" t="s">
        <v>91</v>
      </c>
      <c r="K7" s="64" t="s">
        <v>92</v>
      </c>
      <c r="L7" s="64" t="s">
        <v>93</v>
      </c>
      <c r="M7" s="64" t="s">
        <v>225</v>
      </c>
      <c r="N7" s="64" t="s">
        <v>94</v>
      </c>
      <c r="O7" s="64" t="s">
        <v>95</v>
      </c>
      <c r="P7" s="64" t="s">
        <v>96</v>
      </c>
      <c r="Q7" s="64" t="s">
        <v>86</v>
      </c>
      <c r="R7" s="64" t="s">
        <v>87</v>
      </c>
      <c r="S7" s="65" t="s">
        <v>222</v>
      </c>
      <c r="T7" s="65" t="s">
        <v>227</v>
      </c>
      <c r="U7" s="65" t="s">
        <v>228</v>
      </c>
      <c r="V7" s="66" t="s">
        <v>102</v>
      </c>
      <c r="W7" s="66" t="s">
        <v>103</v>
      </c>
      <c r="X7" s="66" t="s">
        <v>104</v>
      </c>
      <c r="Y7" s="66" t="s">
        <v>105</v>
      </c>
      <c r="Z7" s="66" t="s">
        <v>106</v>
      </c>
      <c r="AA7" s="66" t="s">
        <v>51</v>
      </c>
      <c r="AB7" s="66" t="s">
        <v>226</v>
      </c>
      <c r="AC7" s="66" t="s">
        <v>119</v>
      </c>
      <c r="AD7" s="66" t="s">
        <v>120</v>
      </c>
      <c r="AE7" s="66" t="s">
        <v>121</v>
      </c>
      <c r="AF7" s="66" t="s">
        <v>122</v>
      </c>
      <c r="AG7" s="66" t="s">
        <v>123</v>
      </c>
      <c r="AH7" s="66" t="s">
        <v>124</v>
      </c>
      <c r="AI7" s="66" t="s">
        <v>125</v>
      </c>
      <c r="AJ7" s="66" t="s">
        <v>126</v>
      </c>
      <c r="AK7" s="66" t="s">
        <v>127</v>
      </c>
      <c r="AL7" s="66" t="s">
        <v>128</v>
      </c>
      <c r="AM7" s="66" t="s">
        <v>129</v>
      </c>
      <c r="AN7" s="66" t="s">
        <v>130</v>
      </c>
      <c r="AO7" s="66" t="s">
        <v>131</v>
      </c>
      <c r="AP7" s="66" t="s">
        <v>132</v>
      </c>
      <c r="AQ7" s="66" t="s">
        <v>133</v>
      </c>
      <c r="AR7" s="66" t="s">
        <v>134</v>
      </c>
      <c r="AS7" s="67" t="s">
        <v>165</v>
      </c>
      <c r="AT7" s="67" t="s">
        <v>166</v>
      </c>
      <c r="AU7" s="67" t="s">
        <v>167</v>
      </c>
      <c r="AV7" s="67" t="s">
        <v>168</v>
      </c>
      <c r="AW7" s="67" t="s">
        <v>169</v>
      </c>
      <c r="AX7" s="67" t="s">
        <v>170</v>
      </c>
      <c r="AY7" s="67" t="s">
        <v>171</v>
      </c>
      <c r="AZ7" s="67" t="s">
        <v>172</v>
      </c>
      <c r="BA7" s="67" t="s">
        <v>173</v>
      </c>
      <c r="BB7" s="67" t="s">
        <v>174</v>
      </c>
      <c r="BC7" s="67" t="s">
        <v>175</v>
      </c>
      <c r="BD7" s="67" t="s">
        <v>176</v>
      </c>
      <c r="BE7" s="67" t="s">
        <v>177</v>
      </c>
      <c r="BF7" s="67" t="s">
        <v>178</v>
      </c>
      <c r="BG7" s="67" t="s">
        <v>179</v>
      </c>
      <c r="BH7" s="67" t="s">
        <v>180</v>
      </c>
      <c r="BI7" s="67" t="s">
        <v>181</v>
      </c>
      <c r="BJ7" s="67" t="s">
        <v>182</v>
      </c>
      <c r="BK7" s="67" t="s">
        <v>183</v>
      </c>
      <c r="BL7" s="66" t="s">
        <v>184</v>
      </c>
      <c r="BM7" s="66" t="s">
        <v>185</v>
      </c>
      <c r="BN7" s="66" t="s">
        <v>186</v>
      </c>
      <c r="BO7" s="66" t="s">
        <v>187</v>
      </c>
      <c r="BP7" s="66" t="s">
        <v>188</v>
      </c>
      <c r="BQ7" s="66" t="s">
        <v>189</v>
      </c>
      <c r="BR7" s="66" t="s">
        <v>190</v>
      </c>
      <c r="BS7" s="66" t="s">
        <v>191</v>
      </c>
      <c r="BT7" s="66" t="s">
        <v>192</v>
      </c>
      <c r="BU7" s="66" t="s">
        <v>193</v>
      </c>
      <c r="BV7" s="66" t="s">
        <v>194</v>
      </c>
      <c r="BW7" s="66" t="s">
        <v>195</v>
      </c>
      <c r="BX7" s="66" t="s">
        <v>196</v>
      </c>
      <c r="BY7" s="66" t="s">
        <v>197</v>
      </c>
      <c r="BZ7" s="66" t="s">
        <v>198</v>
      </c>
      <c r="CA7" s="66" t="s">
        <v>199</v>
      </c>
      <c r="CB7" s="66" t="s">
        <v>200</v>
      </c>
      <c r="CC7" s="66" t="s">
        <v>201</v>
      </c>
      <c r="CD7" s="66" t="s">
        <v>202</v>
      </c>
      <c r="CE7" s="66" t="s">
        <v>203</v>
      </c>
      <c r="CF7" s="66" t="s">
        <v>204</v>
      </c>
      <c r="CG7" s="66" t="s">
        <v>205</v>
      </c>
      <c r="CH7" s="66" t="s">
        <v>206</v>
      </c>
      <c r="CI7" s="66" t="s">
        <v>207</v>
      </c>
      <c r="CJ7" s="66" t="s">
        <v>208</v>
      </c>
      <c r="CK7" s="66" t="s">
        <v>209</v>
      </c>
      <c r="CL7" s="66" t="s">
        <v>210</v>
      </c>
      <c r="CM7" s="66" t="s">
        <v>211</v>
      </c>
      <c r="CN7" s="66" t="s">
        <v>212</v>
      </c>
      <c r="CO7" s="66" t="s">
        <v>213</v>
      </c>
      <c r="CP7" s="66" t="s">
        <v>214</v>
      </c>
      <c r="CQ7" s="66" t="s">
        <v>215</v>
      </c>
      <c r="CR7" s="66" t="s">
        <v>216</v>
      </c>
      <c r="CS7" s="66" t="s">
        <v>224</v>
      </c>
      <c r="CT7" s="66" t="s">
        <v>223</v>
      </c>
      <c r="CU7" s="66" t="s">
        <v>250</v>
      </c>
      <c r="CV7" s="66" t="s">
        <v>251</v>
      </c>
      <c r="CW7" s="66" t="s">
        <v>252</v>
      </c>
      <c r="CX7" s="66" t="s">
        <v>253</v>
      </c>
      <c r="CY7" s="66" t="s">
        <v>230</v>
      </c>
    </row>
    <row r="8" spans="1:103" s="62" customFormat="1" ht="12">
      <c r="A8" s="69" t="s">
        <v>43</v>
      </c>
      <c r="B8" s="69" t="s">
        <v>44</v>
      </c>
      <c r="C8" s="87">
        <v>3</v>
      </c>
      <c r="D8" s="88" t="s">
        <v>244</v>
      </c>
      <c r="E8" s="88" t="s">
        <v>52</v>
      </c>
      <c r="F8" s="88" t="s">
        <v>53</v>
      </c>
      <c r="G8" s="88" t="s">
        <v>54</v>
      </c>
      <c r="H8" s="88" t="s">
        <v>55</v>
      </c>
      <c r="I8" s="88" t="s">
        <v>56</v>
      </c>
      <c r="J8" s="88" t="s">
        <v>57</v>
      </c>
      <c r="K8" s="88" t="s">
        <v>58</v>
      </c>
      <c r="L8" s="88" t="s">
        <v>59</v>
      </c>
      <c r="M8" s="88" t="s">
        <v>60</v>
      </c>
      <c r="N8" s="88" t="s">
        <v>61</v>
      </c>
      <c r="O8" s="88" t="s">
        <v>62</v>
      </c>
      <c r="P8" s="88" t="s">
        <v>63</v>
      </c>
      <c r="Q8" s="88" t="s">
        <v>64</v>
      </c>
      <c r="R8" s="88" t="s">
        <v>65</v>
      </c>
      <c r="S8" s="88" t="s">
        <v>66</v>
      </c>
      <c r="T8" s="88" t="s">
        <v>67</v>
      </c>
      <c r="U8" s="88" t="s">
        <v>68</v>
      </c>
      <c r="V8" s="88" t="s">
        <v>64</v>
      </c>
      <c r="W8" s="88" t="s">
        <v>65</v>
      </c>
      <c r="X8" s="88" t="s">
        <v>66</v>
      </c>
      <c r="Y8" s="88" t="s">
        <v>67</v>
      </c>
      <c r="Z8" s="88" t="s">
        <v>68</v>
      </c>
      <c r="AA8" s="88" t="s">
        <v>69</v>
      </c>
      <c r="AB8" s="88" t="s">
        <v>70</v>
      </c>
      <c r="AC8" s="88" t="s">
        <v>71</v>
      </c>
      <c r="AD8" s="88" t="s">
        <v>72</v>
      </c>
      <c r="AE8" s="88" t="s">
        <v>73</v>
      </c>
      <c r="AF8" s="88" t="s">
        <v>74</v>
      </c>
      <c r="AG8" s="88" t="s">
        <v>75</v>
      </c>
      <c r="AH8" s="88" t="s">
        <v>76</v>
      </c>
      <c r="AI8" s="88" t="s">
        <v>77</v>
      </c>
      <c r="AJ8" s="88" t="s">
        <v>78</v>
      </c>
      <c r="AK8" s="88" t="s">
        <v>79</v>
      </c>
      <c r="AL8" s="88" t="s">
        <v>80</v>
      </c>
      <c r="AM8" s="88" t="s">
        <v>81</v>
      </c>
      <c r="AN8" s="88" t="s">
        <v>82</v>
      </c>
      <c r="AO8" s="88" t="s">
        <v>237</v>
      </c>
      <c r="AP8" s="88" t="s">
        <v>238</v>
      </c>
      <c r="AQ8" s="88" t="s">
        <v>239</v>
      </c>
      <c r="AR8" s="88" t="s">
        <v>240</v>
      </c>
      <c r="AS8" s="88" t="s">
        <v>83</v>
      </c>
      <c r="AT8" s="88" t="s">
        <v>84</v>
      </c>
      <c r="AU8" s="88" t="s">
        <v>107</v>
      </c>
      <c r="AV8" s="88" t="s">
        <v>108</v>
      </c>
      <c r="AW8" s="88" t="s">
        <v>109</v>
      </c>
      <c r="AX8" s="88" t="s">
        <v>110</v>
      </c>
      <c r="AY8" s="88" t="s">
        <v>111</v>
      </c>
      <c r="AZ8" s="88" t="s">
        <v>112</v>
      </c>
      <c r="BA8" s="88" t="s">
        <v>113</v>
      </c>
      <c r="BB8" s="88" t="s">
        <v>114</v>
      </c>
      <c r="BC8" s="88" t="s">
        <v>115</v>
      </c>
      <c r="BD8" s="88" t="s">
        <v>116</v>
      </c>
      <c r="BE8" s="88" t="s">
        <v>117</v>
      </c>
      <c r="BF8" s="88" t="s">
        <v>118</v>
      </c>
      <c r="BG8" s="88" t="s">
        <v>135</v>
      </c>
      <c r="BH8" s="88" t="s">
        <v>136</v>
      </c>
      <c r="BI8" s="88" t="s">
        <v>137</v>
      </c>
      <c r="BJ8" s="88" t="s">
        <v>138</v>
      </c>
      <c r="BK8" s="88" t="s">
        <v>143</v>
      </c>
      <c r="BL8" s="88" t="s">
        <v>144</v>
      </c>
      <c r="BM8" s="88" t="s">
        <v>145</v>
      </c>
      <c r="BN8" s="88" t="s">
        <v>146</v>
      </c>
      <c r="BO8" s="88" t="s">
        <v>147</v>
      </c>
      <c r="BP8" s="88" t="s">
        <v>148</v>
      </c>
      <c r="BQ8" s="88" t="s">
        <v>149</v>
      </c>
      <c r="BR8" s="88" t="s">
        <v>150</v>
      </c>
      <c r="BS8" s="88" t="s">
        <v>151</v>
      </c>
      <c r="BT8" s="88" t="s">
        <v>152</v>
      </c>
      <c r="BU8" s="88" t="s">
        <v>153</v>
      </c>
      <c r="BV8" s="88" t="s">
        <v>154</v>
      </c>
      <c r="BW8" s="88" t="s">
        <v>155</v>
      </c>
      <c r="BX8" s="88" t="s">
        <v>156</v>
      </c>
      <c r="BY8" s="88" t="s">
        <v>157</v>
      </c>
      <c r="BZ8" s="88" t="s">
        <v>158</v>
      </c>
      <c r="CA8" s="88" t="s">
        <v>159</v>
      </c>
      <c r="CB8" s="88" t="s">
        <v>160</v>
      </c>
      <c r="CC8" s="88" t="s">
        <v>161</v>
      </c>
      <c r="CD8" s="88" t="s">
        <v>162</v>
      </c>
      <c r="CE8" s="88" t="s">
        <v>163</v>
      </c>
      <c r="CF8" s="88" t="s">
        <v>164</v>
      </c>
      <c r="CG8" s="88" t="s">
        <v>139</v>
      </c>
      <c r="CH8" s="88" t="s">
        <v>140</v>
      </c>
      <c r="CI8" s="88" t="s">
        <v>141</v>
      </c>
      <c r="CJ8" s="88" t="s">
        <v>221</v>
      </c>
      <c r="CK8" s="88" t="s">
        <v>142</v>
      </c>
      <c r="CL8" s="88" t="s">
        <v>143</v>
      </c>
      <c r="CM8" s="88" t="s">
        <v>144</v>
      </c>
      <c r="CN8" s="88" t="s">
        <v>145</v>
      </c>
      <c r="CO8" s="88" t="s">
        <v>146</v>
      </c>
      <c r="CP8" s="88" t="s">
        <v>147</v>
      </c>
      <c r="CQ8" s="88" t="s">
        <v>148</v>
      </c>
      <c r="CR8" s="88" t="s">
        <v>149</v>
      </c>
      <c r="CS8" s="88" t="s">
        <v>150</v>
      </c>
      <c r="CT8" s="88" t="s">
        <v>151</v>
      </c>
      <c r="CU8" s="88" t="s">
        <v>152</v>
      </c>
      <c r="CV8" s="88" t="s">
        <v>153</v>
      </c>
      <c r="CW8" s="88" t="s">
        <v>154</v>
      </c>
      <c r="CX8" s="88" t="s">
        <v>155</v>
      </c>
      <c r="CY8" s="89"/>
    </row>
    <row r="9" spans="1:103" ht="12.75">
      <c r="A9" s="11" t="s">
        <v>41</v>
      </c>
      <c r="B9" s="2" t="s">
        <v>7</v>
      </c>
      <c r="C9" s="12">
        <f>C10</f>
        <v>0</v>
      </c>
      <c r="D9" s="12">
        <f>D10</f>
        <v>0</v>
      </c>
      <c r="E9" s="12">
        <f>E10</f>
        <v>0</v>
      </c>
      <c r="F9" s="12">
        <f aca="true" t="shared" si="0" ref="F9:AR9">F10</f>
        <v>0</v>
      </c>
      <c r="G9" s="12">
        <f t="shared" si="0"/>
        <v>0</v>
      </c>
      <c r="H9" s="12">
        <f t="shared" si="0"/>
        <v>0</v>
      </c>
      <c r="I9" s="12">
        <f t="shared" si="0"/>
        <v>0</v>
      </c>
      <c r="J9" s="12">
        <f t="shared" si="0"/>
        <v>0</v>
      </c>
      <c r="K9" s="12">
        <f t="shared" si="0"/>
        <v>0</v>
      </c>
      <c r="L9" s="12">
        <f t="shared" si="0"/>
        <v>0</v>
      </c>
      <c r="M9" s="12">
        <f t="shared" si="0"/>
        <v>0</v>
      </c>
      <c r="N9" s="12">
        <f t="shared" si="0"/>
        <v>0</v>
      </c>
      <c r="O9" s="12">
        <f t="shared" si="0"/>
        <v>0</v>
      </c>
      <c r="P9" s="12">
        <f t="shared" si="0"/>
        <v>0</v>
      </c>
      <c r="Q9" s="12">
        <f t="shared" si="0"/>
        <v>0</v>
      </c>
      <c r="R9" s="12">
        <f t="shared" si="0"/>
        <v>0</v>
      </c>
      <c r="S9" s="12">
        <f t="shared" si="0"/>
        <v>0</v>
      </c>
      <c r="T9" s="12"/>
      <c r="U9" s="12"/>
      <c r="V9" s="12">
        <f t="shared" si="0"/>
        <v>0</v>
      </c>
      <c r="W9" s="12">
        <f t="shared" si="0"/>
        <v>0</v>
      </c>
      <c r="X9" s="12">
        <f t="shared" si="0"/>
        <v>0</v>
      </c>
      <c r="Y9" s="12">
        <f t="shared" si="0"/>
        <v>0</v>
      </c>
      <c r="Z9" s="12">
        <f t="shared" si="0"/>
        <v>0</v>
      </c>
      <c r="AA9" s="12">
        <f t="shared" si="0"/>
        <v>0</v>
      </c>
      <c r="AB9" s="12">
        <f t="shared" si="0"/>
        <v>0</v>
      </c>
      <c r="AC9" s="12">
        <f t="shared" si="0"/>
        <v>262.5</v>
      </c>
      <c r="AD9" s="12">
        <f t="shared" si="0"/>
        <v>303</v>
      </c>
      <c r="AE9" s="12">
        <f t="shared" si="0"/>
        <v>453</v>
      </c>
      <c r="AF9" s="12">
        <f t="shared" si="0"/>
        <v>501</v>
      </c>
      <c r="AG9" s="12">
        <f t="shared" si="0"/>
        <v>376.5</v>
      </c>
      <c r="AH9" s="12">
        <f t="shared" si="0"/>
        <v>136.5</v>
      </c>
      <c r="AI9" s="12">
        <f t="shared" si="0"/>
        <v>228</v>
      </c>
      <c r="AJ9" s="12">
        <f t="shared" si="0"/>
        <v>159</v>
      </c>
      <c r="AK9" s="12">
        <f t="shared" si="0"/>
        <v>201</v>
      </c>
      <c r="AL9" s="12">
        <f t="shared" si="0"/>
        <v>175.5</v>
      </c>
      <c r="AM9" s="12">
        <f t="shared" si="0"/>
        <v>91.5</v>
      </c>
      <c r="AN9" s="12">
        <f t="shared" si="0"/>
        <v>202.5</v>
      </c>
      <c r="AO9" s="12">
        <f t="shared" si="0"/>
        <v>126</v>
      </c>
      <c r="AP9" s="12">
        <f t="shared" si="0"/>
        <v>159</v>
      </c>
      <c r="AQ9" s="12">
        <f t="shared" si="0"/>
        <v>324</v>
      </c>
      <c r="AR9" s="12">
        <f t="shared" si="0"/>
        <v>369</v>
      </c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</row>
    <row r="10" spans="1:103" ht="12.75" hidden="1">
      <c r="A10" s="11" t="s">
        <v>6</v>
      </c>
      <c r="B10" s="2" t="s">
        <v>8</v>
      </c>
      <c r="C10" s="12"/>
      <c r="D10" s="12"/>
      <c r="E10" s="12"/>
      <c r="F10" s="12">
        <f aca="true" t="shared" si="1" ref="F10:S10">F11+F16</f>
        <v>0</v>
      </c>
      <c r="G10" s="12">
        <f t="shared" si="1"/>
        <v>0</v>
      </c>
      <c r="H10" s="12">
        <f t="shared" si="1"/>
        <v>0</v>
      </c>
      <c r="I10" s="12">
        <f t="shared" si="1"/>
        <v>0</v>
      </c>
      <c r="J10" s="12">
        <f t="shared" si="1"/>
        <v>0</v>
      </c>
      <c r="K10" s="12">
        <f t="shared" si="1"/>
        <v>0</v>
      </c>
      <c r="L10" s="12">
        <f t="shared" si="1"/>
        <v>0</v>
      </c>
      <c r="M10" s="12">
        <f t="shared" si="1"/>
        <v>0</v>
      </c>
      <c r="N10" s="12">
        <f t="shared" si="1"/>
        <v>0</v>
      </c>
      <c r="O10" s="12">
        <f t="shared" si="1"/>
        <v>0</v>
      </c>
      <c r="P10" s="12">
        <f t="shared" si="1"/>
        <v>0</v>
      </c>
      <c r="Q10" s="12">
        <f t="shared" si="1"/>
        <v>0</v>
      </c>
      <c r="R10" s="12">
        <f t="shared" si="1"/>
        <v>0</v>
      </c>
      <c r="S10" s="12">
        <f t="shared" si="1"/>
        <v>0</v>
      </c>
      <c r="T10" s="12"/>
      <c r="U10" s="12"/>
      <c r="V10" s="12">
        <f aca="true" t="shared" si="2" ref="V10:AR10">V11+V16</f>
        <v>0</v>
      </c>
      <c r="W10" s="12">
        <f t="shared" si="2"/>
        <v>0</v>
      </c>
      <c r="X10" s="12">
        <f t="shared" si="2"/>
        <v>0</v>
      </c>
      <c r="Y10" s="12">
        <f t="shared" si="2"/>
        <v>0</v>
      </c>
      <c r="Z10" s="12">
        <f t="shared" si="2"/>
        <v>0</v>
      </c>
      <c r="AA10" s="12">
        <f t="shared" si="2"/>
        <v>0</v>
      </c>
      <c r="AB10" s="12">
        <f t="shared" si="2"/>
        <v>0</v>
      </c>
      <c r="AC10" s="12">
        <f t="shared" si="2"/>
        <v>262.5</v>
      </c>
      <c r="AD10" s="12">
        <f t="shared" si="2"/>
        <v>303</v>
      </c>
      <c r="AE10" s="12">
        <f t="shared" si="2"/>
        <v>453</v>
      </c>
      <c r="AF10" s="12">
        <f t="shared" si="2"/>
        <v>501</v>
      </c>
      <c r="AG10" s="12">
        <f t="shared" si="2"/>
        <v>376.5</v>
      </c>
      <c r="AH10" s="12">
        <f t="shared" si="2"/>
        <v>136.5</v>
      </c>
      <c r="AI10" s="12">
        <f t="shared" si="2"/>
        <v>228</v>
      </c>
      <c r="AJ10" s="12">
        <f t="shared" si="2"/>
        <v>159</v>
      </c>
      <c r="AK10" s="12">
        <f t="shared" si="2"/>
        <v>201</v>
      </c>
      <c r="AL10" s="12">
        <f t="shared" si="2"/>
        <v>175.5</v>
      </c>
      <c r="AM10" s="12">
        <f t="shared" si="2"/>
        <v>91.5</v>
      </c>
      <c r="AN10" s="12">
        <f t="shared" si="2"/>
        <v>202.5</v>
      </c>
      <c r="AO10" s="12">
        <f t="shared" si="2"/>
        <v>126</v>
      </c>
      <c r="AP10" s="12">
        <f t="shared" si="2"/>
        <v>159</v>
      </c>
      <c r="AQ10" s="12">
        <f t="shared" si="2"/>
        <v>324</v>
      </c>
      <c r="AR10" s="12">
        <f t="shared" si="2"/>
        <v>369</v>
      </c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</row>
    <row r="11" spans="1:103" ht="12.75" hidden="1">
      <c r="A11" s="20">
        <v>1</v>
      </c>
      <c r="B11" s="21" t="s">
        <v>10</v>
      </c>
      <c r="C11" s="13">
        <f aca="true" t="shared" si="3" ref="C11:C21">D11</f>
        <v>899.689</v>
      </c>
      <c r="D11" s="13">
        <f>SUM(D12:D15)</f>
        <v>899.689</v>
      </c>
      <c r="E11" s="13">
        <f>SUM(E12:E15)</f>
        <v>266.68899999999996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22"/>
      <c r="W11" s="22"/>
      <c r="X11" s="22"/>
      <c r="Y11" s="22"/>
      <c r="Z11" s="22"/>
      <c r="AA11" s="22"/>
      <c r="AB11" s="22"/>
      <c r="AC11" s="13">
        <f aca="true" t="shared" si="4" ref="AC11:AR11">SUM(AC12:AC15)</f>
        <v>37.5</v>
      </c>
      <c r="AD11" s="13">
        <f t="shared" si="4"/>
        <v>48</v>
      </c>
      <c r="AE11" s="13">
        <f t="shared" si="4"/>
        <v>33</v>
      </c>
      <c r="AF11" s="13">
        <f t="shared" si="4"/>
        <v>81</v>
      </c>
      <c r="AG11" s="13">
        <f t="shared" si="4"/>
        <v>31.5</v>
      </c>
      <c r="AH11" s="13">
        <f t="shared" si="4"/>
        <v>31.5</v>
      </c>
      <c r="AI11" s="13">
        <f t="shared" si="4"/>
        <v>33</v>
      </c>
      <c r="AJ11" s="13">
        <f t="shared" si="4"/>
        <v>24</v>
      </c>
      <c r="AK11" s="13">
        <f t="shared" si="4"/>
        <v>36</v>
      </c>
      <c r="AL11" s="13">
        <f t="shared" si="4"/>
        <v>25.5</v>
      </c>
      <c r="AM11" s="13">
        <f t="shared" si="4"/>
        <v>16.5</v>
      </c>
      <c r="AN11" s="13">
        <f t="shared" si="4"/>
        <v>45</v>
      </c>
      <c r="AO11" s="13">
        <f t="shared" si="4"/>
        <v>28.5</v>
      </c>
      <c r="AP11" s="13">
        <f t="shared" si="4"/>
        <v>39</v>
      </c>
      <c r="AQ11" s="13">
        <f t="shared" si="4"/>
        <v>54</v>
      </c>
      <c r="AR11" s="13">
        <f t="shared" si="4"/>
        <v>69</v>
      </c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</row>
    <row r="12" spans="1:103" ht="12.75" hidden="1">
      <c r="A12" s="20"/>
      <c r="B12" s="23" t="s">
        <v>97</v>
      </c>
      <c r="C12" s="13">
        <f t="shared" si="3"/>
        <v>752.186</v>
      </c>
      <c r="D12" s="13">
        <f>SUM(E12:CT12)</f>
        <v>752.186</v>
      </c>
      <c r="E12" s="13">
        <f>ROUND('[1]Phân bổ 2022'!F20,0)/1000</f>
        <v>119.186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22"/>
      <c r="W12" s="22"/>
      <c r="X12" s="22"/>
      <c r="Y12" s="22"/>
      <c r="Z12" s="22"/>
      <c r="AA12" s="22"/>
      <c r="AB12" s="22"/>
      <c r="AC12" s="22">
        <f>ROUND('[2]khoi phuong'!F20,0)/1000</f>
        <v>37.5</v>
      </c>
      <c r="AD12" s="22">
        <f>ROUND('[2]khoi phuong'!G20,0)/1000</f>
        <v>48</v>
      </c>
      <c r="AE12" s="22">
        <f>ROUND('[2]khoi phuong'!H20,0)/1000</f>
        <v>33</v>
      </c>
      <c r="AF12" s="22">
        <f>ROUND('[2]khoi phuong'!I20,0)/1000</f>
        <v>81</v>
      </c>
      <c r="AG12" s="22">
        <f>ROUND('[2]khoi phuong'!J20,0)/1000</f>
        <v>31.5</v>
      </c>
      <c r="AH12" s="22">
        <f>ROUND('[2]khoi phuong'!K20,0)/1000</f>
        <v>31.5</v>
      </c>
      <c r="AI12" s="22">
        <f>ROUND('[2]khoi phuong'!L20,0)/1000</f>
        <v>33</v>
      </c>
      <c r="AJ12" s="22">
        <f>ROUND('[2]khoi phuong'!M20,0)/1000</f>
        <v>24</v>
      </c>
      <c r="AK12" s="22">
        <f>ROUND('[2]khoi phuong'!N20,0)/1000</f>
        <v>36</v>
      </c>
      <c r="AL12" s="22">
        <f>ROUND('[2]khoi phuong'!O20,0)/1000</f>
        <v>25.5</v>
      </c>
      <c r="AM12" s="22">
        <f>ROUND('[2]khoi phuong'!P20,0)/1000</f>
        <v>16.5</v>
      </c>
      <c r="AN12" s="22">
        <f>ROUND('[2]khoi phuong'!Q20,0)/1000</f>
        <v>45</v>
      </c>
      <c r="AO12" s="22">
        <f>ROUND('[2]khoi phuong'!R20,0)/1000</f>
        <v>28.5</v>
      </c>
      <c r="AP12" s="22">
        <f>ROUND('[2]khoi phuong'!S20,0)/1000</f>
        <v>39</v>
      </c>
      <c r="AQ12" s="22">
        <f>ROUND('[2]khoi phuong'!T20,0)/1000</f>
        <v>54</v>
      </c>
      <c r="AR12" s="22">
        <f>ROUND('[2]khoi phuong'!U20,0)/1000</f>
        <v>69</v>
      </c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19"/>
    </row>
    <row r="13" spans="1:103" ht="12.75" hidden="1">
      <c r="A13" s="20"/>
      <c r="B13" s="23" t="s">
        <v>98</v>
      </c>
      <c r="C13" s="13">
        <f t="shared" si="3"/>
        <v>85.8</v>
      </c>
      <c r="D13" s="13">
        <f>SUM(E13:CT13)</f>
        <v>85.8</v>
      </c>
      <c r="E13" s="13">
        <f>ROUND('[1]Phân bổ 2022'!F21,0)/1000</f>
        <v>85.8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22"/>
      <c r="W13" s="22"/>
      <c r="X13" s="22"/>
      <c r="Y13" s="22"/>
      <c r="Z13" s="22"/>
      <c r="AA13" s="22"/>
      <c r="AB13" s="22"/>
      <c r="AC13" s="22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</row>
    <row r="14" spans="1:103" ht="25.5" hidden="1">
      <c r="A14" s="20"/>
      <c r="B14" s="23" t="s">
        <v>232</v>
      </c>
      <c r="C14" s="13">
        <f t="shared" si="3"/>
        <v>1.75</v>
      </c>
      <c r="D14" s="13">
        <f>SUM(E14:CT14)</f>
        <v>1.75</v>
      </c>
      <c r="E14" s="13">
        <f>ROUND('[1]Phân bổ 2022'!F22,0)/1000</f>
        <v>1.75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22"/>
      <c r="W14" s="22"/>
      <c r="X14" s="22"/>
      <c r="Y14" s="22"/>
      <c r="Z14" s="22"/>
      <c r="AA14" s="22"/>
      <c r="AB14" s="22"/>
      <c r="AC14" s="22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</row>
    <row r="15" spans="1:103" ht="12.75" hidden="1">
      <c r="A15" s="20"/>
      <c r="B15" s="23" t="s">
        <v>99</v>
      </c>
      <c r="C15" s="13">
        <f t="shared" si="3"/>
        <v>59.953</v>
      </c>
      <c r="D15" s="13">
        <f>SUM(E15:CT15)</f>
        <v>59.953</v>
      </c>
      <c r="E15" s="13">
        <f>ROUND('[1]Phân bổ 2022'!F23,0)/1000</f>
        <v>59.953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22"/>
      <c r="W15" s="22"/>
      <c r="X15" s="22"/>
      <c r="Y15" s="22"/>
      <c r="Z15" s="22"/>
      <c r="AA15" s="22"/>
      <c r="AB15" s="22"/>
      <c r="AC15" s="22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</row>
    <row r="16" spans="1:103" ht="12.75" hidden="1">
      <c r="A16" s="20">
        <v>2</v>
      </c>
      <c r="B16" s="21" t="s">
        <v>12</v>
      </c>
      <c r="C16" s="13">
        <f t="shared" si="3"/>
        <v>4067.203</v>
      </c>
      <c r="D16" s="13">
        <f>SUM(D17:D21)</f>
        <v>4067.203</v>
      </c>
      <c r="E16" s="13">
        <f aca="true" t="shared" si="5" ref="E16:S16">SUM(E17:E21)</f>
        <v>632.203</v>
      </c>
      <c r="F16" s="13">
        <f t="shared" si="5"/>
        <v>0</v>
      </c>
      <c r="G16" s="13">
        <f t="shared" si="5"/>
        <v>0</v>
      </c>
      <c r="H16" s="13">
        <f t="shared" si="5"/>
        <v>0</v>
      </c>
      <c r="I16" s="13">
        <f t="shared" si="5"/>
        <v>0</v>
      </c>
      <c r="J16" s="13">
        <f t="shared" si="5"/>
        <v>0</v>
      </c>
      <c r="K16" s="13">
        <f t="shared" si="5"/>
        <v>0</v>
      </c>
      <c r="L16" s="13">
        <f t="shared" si="5"/>
        <v>0</v>
      </c>
      <c r="M16" s="13">
        <f t="shared" si="5"/>
        <v>0</v>
      </c>
      <c r="N16" s="13">
        <f t="shared" si="5"/>
        <v>0</v>
      </c>
      <c r="O16" s="13">
        <f t="shared" si="5"/>
        <v>0</v>
      </c>
      <c r="P16" s="13">
        <f t="shared" si="5"/>
        <v>0</v>
      </c>
      <c r="Q16" s="13">
        <f t="shared" si="5"/>
        <v>0</v>
      </c>
      <c r="R16" s="13">
        <f t="shared" si="5"/>
        <v>0</v>
      </c>
      <c r="S16" s="13">
        <f t="shared" si="5"/>
        <v>0</v>
      </c>
      <c r="T16" s="13"/>
      <c r="U16" s="13"/>
      <c r="V16" s="13">
        <f aca="true" t="shared" si="6" ref="V16:AR16">SUM(V17:V21)</f>
        <v>0</v>
      </c>
      <c r="W16" s="13">
        <f t="shared" si="6"/>
        <v>0</v>
      </c>
      <c r="X16" s="13">
        <f t="shared" si="6"/>
        <v>0</v>
      </c>
      <c r="Y16" s="13">
        <f t="shared" si="6"/>
        <v>0</v>
      </c>
      <c r="Z16" s="13">
        <f t="shared" si="6"/>
        <v>0</v>
      </c>
      <c r="AA16" s="13">
        <f t="shared" si="6"/>
        <v>0</v>
      </c>
      <c r="AB16" s="13">
        <f t="shared" si="6"/>
        <v>0</v>
      </c>
      <c r="AC16" s="13">
        <f t="shared" si="6"/>
        <v>225</v>
      </c>
      <c r="AD16" s="13">
        <f t="shared" si="6"/>
        <v>255</v>
      </c>
      <c r="AE16" s="13">
        <f t="shared" si="6"/>
        <v>420</v>
      </c>
      <c r="AF16" s="13">
        <f t="shared" si="6"/>
        <v>420</v>
      </c>
      <c r="AG16" s="13">
        <f t="shared" si="6"/>
        <v>345</v>
      </c>
      <c r="AH16" s="13">
        <f t="shared" si="6"/>
        <v>105</v>
      </c>
      <c r="AI16" s="13">
        <f t="shared" si="6"/>
        <v>195</v>
      </c>
      <c r="AJ16" s="13">
        <f t="shared" si="6"/>
        <v>135</v>
      </c>
      <c r="AK16" s="13">
        <f t="shared" si="6"/>
        <v>165</v>
      </c>
      <c r="AL16" s="13">
        <f t="shared" si="6"/>
        <v>150</v>
      </c>
      <c r="AM16" s="13">
        <f t="shared" si="6"/>
        <v>75</v>
      </c>
      <c r="AN16" s="13">
        <f t="shared" si="6"/>
        <v>157.5</v>
      </c>
      <c r="AO16" s="13">
        <f t="shared" si="6"/>
        <v>97.5</v>
      </c>
      <c r="AP16" s="13">
        <f t="shared" si="6"/>
        <v>120</v>
      </c>
      <c r="AQ16" s="13">
        <f t="shared" si="6"/>
        <v>270</v>
      </c>
      <c r="AR16" s="13">
        <f t="shared" si="6"/>
        <v>300</v>
      </c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</row>
    <row r="17" spans="1:103" ht="12.75" hidden="1">
      <c r="A17" s="20"/>
      <c r="B17" s="23" t="s">
        <v>100</v>
      </c>
      <c r="C17" s="13">
        <f t="shared" si="3"/>
        <v>3641.871</v>
      </c>
      <c r="D17" s="13">
        <f>SUM(E17:CT17)</f>
        <v>3641.871</v>
      </c>
      <c r="E17" s="13">
        <f>ROUND('[1]Phân bổ 2022'!F27,0)/1000</f>
        <v>206.871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22"/>
      <c r="W17" s="22"/>
      <c r="X17" s="22"/>
      <c r="Y17" s="22"/>
      <c r="Z17" s="22"/>
      <c r="AA17" s="22"/>
      <c r="AB17" s="22"/>
      <c r="AC17" s="22">
        <f>ROUND('[2]khoi phuong'!F23,0)/1000</f>
        <v>225</v>
      </c>
      <c r="AD17" s="22">
        <f>ROUND('[2]khoi phuong'!G23,0)/1000</f>
        <v>255</v>
      </c>
      <c r="AE17" s="22">
        <f>ROUND('[2]khoi phuong'!H23,0)/1000</f>
        <v>420</v>
      </c>
      <c r="AF17" s="22">
        <f>ROUND('[2]khoi phuong'!I23,0)/1000</f>
        <v>420</v>
      </c>
      <c r="AG17" s="22">
        <f>ROUND('[2]khoi phuong'!J23,0)/1000</f>
        <v>345</v>
      </c>
      <c r="AH17" s="22">
        <f>ROUND('[2]khoi phuong'!K23,0)/1000</f>
        <v>105</v>
      </c>
      <c r="AI17" s="22">
        <f>ROUND('[2]khoi phuong'!L23,0)/1000</f>
        <v>195</v>
      </c>
      <c r="AJ17" s="22">
        <f>ROUND('[2]khoi phuong'!M23,0)/1000</f>
        <v>135</v>
      </c>
      <c r="AK17" s="22">
        <f>ROUND('[2]khoi phuong'!N23,0)/1000</f>
        <v>165</v>
      </c>
      <c r="AL17" s="22">
        <f>ROUND('[2]khoi phuong'!O23,0)/1000</f>
        <v>150</v>
      </c>
      <c r="AM17" s="22">
        <f>ROUND('[2]khoi phuong'!P23,0)/1000</f>
        <v>75</v>
      </c>
      <c r="AN17" s="22">
        <f>ROUND('[2]khoi phuong'!Q23,0)/1000</f>
        <v>157.5</v>
      </c>
      <c r="AO17" s="22">
        <f>ROUND('[2]khoi phuong'!R23,0)/1000</f>
        <v>97.5</v>
      </c>
      <c r="AP17" s="22">
        <f>ROUND('[2]khoi phuong'!S23,0)/1000</f>
        <v>120</v>
      </c>
      <c r="AQ17" s="22">
        <f>ROUND('[2]khoi phuong'!T23,0)/1000</f>
        <v>270</v>
      </c>
      <c r="AR17" s="22">
        <f>ROUND('[2]khoi phuong'!U23,0)/1000</f>
        <v>300</v>
      </c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</row>
    <row r="18" spans="1:103" ht="25.5" hidden="1">
      <c r="A18" s="20"/>
      <c r="B18" s="23" t="s">
        <v>233</v>
      </c>
      <c r="C18" s="13">
        <f t="shared" si="3"/>
        <v>210.4</v>
      </c>
      <c r="D18" s="13">
        <f>SUM(E18:CT18)</f>
        <v>210.4</v>
      </c>
      <c r="E18" s="13">
        <v>210.4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22"/>
      <c r="W18" s="22"/>
      <c r="X18" s="22"/>
      <c r="Y18" s="22"/>
      <c r="Z18" s="22"/>
      <c r="AA18" s="22"/>
      <c r="AB18" s="22"/>
      <c r="AC18" s="22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</row>
    <row r="19" spans="1:103" ht="51" hidden="1">
      <c r="A19" s="20"/>
      <c r="B19" s="56" t="s">
        <v>234</v>
      </c>
      <c r="C19" s="13">
        <f t="shared" si="3"/>
        <v>18.5</v>
      </c>
      <c r="D19" s="13">
        <f>SUM(E19:CT19)</f>
        <v>18.5</v>
      </c>
      <c r="E19" s="13">
        <v>18.5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22"/>
      <c r="W19" s="22"/>
      <c r="X19" s="22"/>
      <c r="Y19" s="22"/>
      <c r="Z19" s="22"/>
      <c r="AA19" s="22"/>
      <c r="AB19" s="22"/>
      <c r="AC19" s="22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</row>
    <row r="20" spans="1:103" ht="76.5" hidden="1">
      <c r="A20" s="20"/>
      <c r="B20" s="56" t="s">
        <v>235</v>
      </c>
      <c r="C20" s="13">
        <f t="shared" si="3"/>
        <v>100</v>
      </c>
      <c r="D20" s="13">
        <f>SUM(E20:CT20)</f>
        <v>100</v>
      </c>
      <c r="E20" s="13">
        <f>'[3]VPUBND 2022'!$E$29/1000</f>
        <v>100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22"/>
      <c r="W20" s="22"/>
      <c r="X20" s="22"/>
      <c r="Y20" s="22"/>
      <c r="Z20" s="22"/>
      <c r="AA20" s="22"/>
      <c r="AB20" s="22"/>
      <c r="AC20" s="22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</row>
    <row r="21" spans="1:103" ht="25.5" hidden="1">
      <c r="A21" s="20"/>
      <c r="B21" s="23" t="s">
        <v>101</v>
      </c>
      <c r="C21" s="13">
        <f t="shared" si="3"/>
        <v>96.432</v>
      </c>
      <c r="D21" s="13">
        <f>SUM(E21:CT21)</f>
        <v>96.432</v>
      </c>
      <c r="E21" s="13">
        <f>ROUND('[1]Phân bổ 2022'!F30,0)/1000</f>
        <v>96.432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22"/>
      <c r="W21" s="22"/>
      <c r="X21" s="22"/>
      <c r="Y21" s="22"/>
      <c r="Z21" s="22"/>
      <c r="AA21" s="22"/>
      <c r="AB21" s="22"/>
      <c r="AC21" s="22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</row>
    <row r="22" spans="1:103" ht="12.75" hidden="1">
      <c r="A22" s="11" t="s">
        <v>15</v>
      </c>
      <c r="B22" s="2" t="s">
        <v>13</v>
      </c>
      <c r="C22" s="14"/>
      <c r="D22" s="14"/>
      <c r="E22" s="14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24"/>
      <c r="W22" s="24"/>
      <c r="X22" s="24"/>
      <c r="Y22" s="24"/>
      <c r="Z22" s="24"/>
      <c r="AA22" s="24"/>
      <c r="AB22" s="24"/>
      <c r="AC22" s="24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</row>
    <row r="23" spans="1:103" s="26" customFormat="1" ht="12.75" hidden="1">
      <c r="A23" s="11" t="s">
        <v>245</v>
      </c>
      <c r="B23" s="2" t="s">
        <v>14</v>
      </c>
      <c r="C23" s="12">
        <f>D23</f>
        <v>0</v>
      </c>
      <c r="D23" s="12"/>
      <c r="E23" s="1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24"/>
      <c r="W23" s="24"/>
      <c r="X23" s="24"/>
      <c r="Y23" s="24"/>
      <c r="Z23" s="24"/>
      <c r="AA23" s="24"/>
      <c r="AB23" s="24"/>
      <c r="AC23" s="25">
        <f>ROUND('[2]khoi phuong'!F28,0)/1000</f>
        <v>262.5</v>
      </c>
      <c r="AD23" s="25">
        <f>ROUND('[2]khoi phuong'!G28,0)/1000</f>
        <v>303</v>
      </c>
      <c r="AE23" s="25">
        <f>ROUND('[2]khoi phuong'!H28,0)/1000</f>
        <v>453</v>
      </c>
      <c r="AF23" s="25">
        <f>ROUND('[2]khoi phuong'!I28,0)/1000</f>
        <v>501</v>
      </c>
      <c r="AG23" s="25">
        <f>ROUND('[2]khoi phuong'!J28,0)/1000</f>
        <v>376.5</v>
      </c>
      <c r="AH23" s="25">
        <f>ROUND('[2]khoi phuong'!K28,0)/1000</f>
        <v>136.5</v>
      </c>
      <c r="AI23" s="25">
        <f>ROUND('[2]khoi phuong'!L28,0)/1000</f>
        <v>228</v>
      </c>
      <c r="AJ23" s="25">
        <f>ROUND('[2]khoi phuong'!M28,0)/1000</f>
        <v>159</v>
      </c>
      <c r="AK23" s="25">
        <f>ROUND('[2]khoi phuong'!N28,0)/1000</f>
        <v>201</v>
      </c>
      <c r="AL23" s="25">
        <f>ROUND('[2]khoi phuong'!O28,0)/1000</f>
        <v>175.5</v>
      </c>
      <c r="AM23" s="25">
        <f>ROUND('[2]khoi phuong'!P28,0)/1000</f>
        <v>91.5</v>
      </c>
      <c r="AN23" s="25">
        <f>ROUND('[2]khoi phuong'!Q28,0)/1000</f>
        <v>202.5</v>
      </c>
      <c r="AO23" s="25">
        <f>ROUND('[2]khoi phuong'!R28,0)/1000</f>
        <v>126</v>
      </c>
      <c r="AP23" s="25">
        <f>ROUND('[2]khoi phuong'!S28,0)/1000</f>
        <v>159</v>
      </c>
      <c r="AQ23" s="25">
        <f>ROUND('[2]khoi phuong'!T28,0)/1000</f>
        <v>324</v>
      </c>
      <c r="AR23" s="25">
        <f>ROUND('[2]khoi phuong'!U28,0)/1000</f>
        <v>369</v>
      </c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</row>
    <row r="24" spans="1:103" ht="12.75">
      <c r="A24" s="11" t="s">
        <v>42</v>
      </c>
      <c r="B24" s="2" t="s">
        <v>16</v>
      </c>
      <c r="C24" s="12">
        <f>D24</f>
        <v>98206.33323100001</v>
      </c>
      <c r="D24" s="18">
        <f>D26+D35+D45+D49+D53+D59+D63+D72+D76+D84</f>
        <v>98206.33323100001</v>
      </c>
      <c r="E24" s="18">
        <f aca="true" t="shared" si="7" ref="E24:S24">SUM(E26:E89)/3</f>
        <v>1240.484198</v>
      </c>
      <c r="F24" s="18">
        <f t="shared" si="7"/>
        <v>727.2903810000001</v>
      </c>
      <c r="G24" s="18">
        <f t="shared" si="7"/>
        <v>193.69725200000002</v>
      </c>
      <c r="H24" s="18">
        <f t="shared" si="7"/>
        <v>1157.385856</v>
      </c>
      <c r="I24" s="18">
        <f t="shared" si="7"/>
        <v>728.7713129999999</v>
      </c>
      <c r="J24" s="18">
        <f t="shared" si="7"/>
        <v>298.92379</v>
      </c>
      <c r="K24" s="18">
        <f t="shared" si="7"/>
        <v>40354.975583</v>
      </c>
      <c r="L24" s="18">
        <f t="shared" si="7"/>
        <v>284.898724</v>
      </c>
      <c r="M24" s="18">
        <f t="shared" si="7"/>
        <v>282.789074</v>
      </c>
      <c r="N24" s="18">
        <f t="shared" si="7"/>
        <v>822.5480039999999</v>
      </c>
      <c r="O24" s="18">
        <f t="shared" si="7"/>
        <v>1395.8283360000003</v>
      </c>
      <c r="P24" s="18">
        <f t="shared" si="7"/>
        <v>3405.3565830000002</v>
      </c>
      <c r="Q24" s="18">
        <f t="shared" si="7"/>
        <v>0</v>
      </c>
      <c r="R24" s="18">
        <f t="shared" si="7"/>
        <v>0</v>
      </c>
      <c r="S24" s="18">
        <f t="shared" si="7"/>
        <v>0</v>
      </c>
      <c r="T24" s="18"/>
      <c r="U24" s="18"/>
      <c r="V24" s="18">
        <f aca="true" t="shared" si="8" ref="V24:AF24">SUM(V26:V89)/3</f>
        <v>260</v>
      </c>
      <c r="W24" s="18">
        <f t="shared" si="8"/>
        <v>266</v>
      </c>
      <c r="X24" s="18">
        <f t="shared" si="8"/>
        <v>272</v>
      </c>
      <c r="Y24" s="18">
        <f t="shared" si="8"/>
        <v>87.5</v>
      </c>
      <c r="Z24" s="18">
        <f t="shared" si="8"/>
        <v>7.5</v>
      </c>
      <c r="AA24" s="18">
        <f t="shared" si="8"/>
        <v>37.5</v>
      </c>
      <c r="AB24" s="18">
        <f t="shared" si="8"/>
        <v>1036.5</v>
      </c>
      <c r="AC24" s="18">
        <f t="shared" si="8"/>
        <v>5368.349128</v>
      </c>
      <c r="AD24" s="18">
        <f t="shared" si="8"/>
        <v>3096.699932</v>
      </c>
      <c r="AE24" s="18">
        <f t="shared" si="8"/>
        <v>2275.3656149999997</v>
      </c>
      <c r="AF24" s="18">
        <f t="shared" si="8"/>
        <v>4551.707895999999</v>
      </c>
      <c r="AG24" s="18">
        <f aca="true" t="shared" si="9" ref="AG24:BL24">SUM(AG26:AG89)/3</f>
        <v>3313.240752</v>
      </c>
      <c r="AH24" s="18">
        <f t="shared" si="9"/>
        <v>3306.3342159999997</v>
      </c>
      <c r="AI24" s="18">
        <f t="shared" si="9"/>
        <v>7484.8195399999995</v>
      </c>
      <c r="AJ24" s="18">
        <f t="shared" si="9"/>
        <v>1337.4632230000004</v>
      </c>
      <c r="AK24" s="18">
        <f t="shared" si="9"/>
        <v>3710.2419630000004</v>
      </c>
      <c r="AL24" s="18">
        <f t="shared" si="9"/>
        <v>4325.7219153333335</v>
      </c>
      <c r="AM24" s="18">
        <f t="shared" si="9"/>
        <v>2424.344877</v>
      </c>
      <c r="AN24" s="18">
        <f t="shared" si="9"/>
        <v>3848.224372999999</v>
      </c>
      <c r="AO24" s="18">
        <f t="shared" si="9"/>
        <v>2701.25</v>
      </c>
      <c r="AP24" s="18">
        <f t="shared" si="9"/>
        <v>2925.911182</v>
      </c>
      <c r="AQ24" s="18">
        <f t="shared" si="9"/>
        <v>2937.7511800000007</v>
      </c>
      <c r="AR24" s="18">
        <f t="shared" si="9"/>
        <v>2740.291677999999</v>
      </c>
      <c r="AS24" s="18">
        <f t="shared" si="9"/>
        <v>-104.71075800000028</v>
      </c>
      <c r="AT24" s="18">
        <f t="shared" si="9"/>
        <v>-218.14644000000007</v>
      </c>
      <c r="AU24" s="18">
        <f t="shared" si="9"/>
        <v>254.283</v>
      </c>
      <c r="AV24" s="18">
        <f t="shared" si="9"/>
        <v>-254.10299999999998</v>
      </c>
      <c r="AW24" s="18">
        <f t="shared" si="9"/>
        <v>666.4739999999999</v>
      </c>
      <c r="AX24" s="18">
        <f t="shared" si="9"/>
        <v>-38.45100000000002</v>
      </c>
      <c r="AY24" s="18">
        <f t="shared" si="9"/>
        <v>1161.878</v>
      </c>
      <c r="AZ24" s="18">
        <f t="shared" si="9"/>
        <v>-103.165</v>
      </c>
      <c r="BA24" s="18">
        <f t="shared" si="9"/>
        <v>245.62199999999999</v>
      </c>
      <c r="BB24" s="18">
        <f t="shared" si="9"/>
        <v>36.76200000000001</v>
      </c>
      <c r="BC24" s="18">
        <f t="shared" si="9"/>
        <v>-83.547</v>
      </c>
      <c r="BD24" s="18">
        <f t="shared" si="9"/>
        <v>76.16499999999998</v>
      </c>
      <c r="BE24" s="18">
        <f t="shared" si="9"/>
        <v>-204.81300000000002</v>
      </c>
      <c r="BF24" s="18">
        <f t="shared" si="9"/>
        <v>-28.687999999999988</v>
      </c>
      <c r="BG24" s="18">
        <f t="shared" si="9"/>
        <v>-220.61</v>
      </c>
      <c r="BH24" s="18">
        <f t="shared" si="9"/>
        <v>111.853</v>
      </c>
      <c r="BI24" s="18">
        <f t="shared" si="9"/>
        <v>-84.82900000000001</v>
      </c>
      <c r="BJ24" s="18">
        <f t="shared" si="9"/>
        <v>543.985</v>
      </c>
      <c r="BK24" s="18">
        <f t="shared" si="9"/>
        <v>-309</v>
      </c>
      <c r="BL24" s="18">
        <f t="shared" si="9"/>
        <v>-430</v>
      </c>
      <c r="BM24" s="18">
        <f aca="true" t="shared" si="10" ref="BM24:CR24">SUM(BM26:BM89)/3</f>
        <v>-73</v>
      </c>
      <c r="BN24" s="18">
        <f t="shared" si="10"/>
        <v>-383</v>
      </c>
      <c r="BO24" s="18">
        <f t="shared" si="10"/>
        <v>58</v>
      </c>
      <c r="BP24" s="18">
        <f t="shared" si="10"/>
        <v>-620</v>
      </c>
      <c r="BQ24" s="18">
        <f t="shared" si="10"/>
        <v>1596</v>
      </c>
      <c r="BR24" s="18">
        <f t="shared" si="10"/>
        <v>-540</v>
      </c>
      <c r="BS24" s="18">
        <f t="shared" si="10"/>
        <v>-559</v>
      </c>
      <c r="BT24" s="18">
        <f t="shared" si="10"/>
        <v>-1650</v>
      </c>
      <c r="BU24" s="18">
        <f t="shared" si="10"/>
        <v>-193</v>
      </c>
      <c r="BV24" s="18">
        <f t="shared" si="10"/>
        <v>-434</v>
      </c>
      <c r="BW24" s="18">
        <f t="shared" si="10"/>
        <v>-572</v>
      </c>
      <c r="BX24" s="18">
        <f t="shared" si="10"/>
        <v>273</v>
      </c>
      <c r="BY24" s="18">
        <f t="shared" si="10"/>
        <v>-157</v>
      </c>
      <c r="BZ24" s="18">
        <f t="shared" si="10"/>
        <v>392</v>
      </c>
      <c r="CA24" s="18">
        <f t="shared" si="10"/>
        <v>352</v>
      </c>
      <c r="CB24" s="18">
        <f t="shared" si="10"/>
        <v>-63</v>
      </c>
      <c r="CC24" s="18">
        <f t="shared" si="10"/>
        <v>-214</v>
      </c>
      <c r="CD24" s="18">
        <f t="shared" si="10"/>
        <v>-366</v>
      </c>
      <c r="CE24" s="18">
        <f t="shared" si="10"/>
        <v>376</v>
      </c>
      <c r="CF24" s="18">
        <f t="shared" si="10"/>
        <v>-66</v>
      </c>
      <c r="CG24" s="18">
        <f t="shared" si="10"/>
        <v>371.74</v>
      </c>
      <c r="CH24" s="18">
        <f t="shared" si="10"/>
        <v>-117.375</v>
      </c>
      <c r="CI24" s="18">
        <f t="shared" si="10"/>
        <v>233.9699999999998</v>
      </c>
      <c r="CJ24" s="18">
        <f t="shared" si="10"/>
        <v>111.94499999999994</v>
      </c>
      <c r="CK24" s="18">
        <f t="shared" si="10"/>
        <v>-77.13</v>
      </c>
      <c r="CL24" s="18">
        <f t="shared" si="10"/>
        <v>205.95499999999993</v>
      </c>
      <c r="CM24" s="18">
        <f t="shared" si="10"/>
        <v>711.6500000000001</v>
      </c>
      <c r="CN24" s="18">
        <f t="shared" si="10"/>
        <v>714.41</v>
      </c>
      <c r="CO24" s="18">
        <f t="shared" si="10"/>
        <v>1123.4</v>
      </c>
      <c r="CP24" s="18">
        <f t="shared" si="10"/>
        <v>751.32</v>
      </c>
      <c r="CQ24" s="18">
        <f t="shared" si="10"/>
        <v>-322.34180200000003</v>
      </c>
      <c r="CR24" s="18">
        <f t="shared" si="10"/>
        <v>-1993.58</v>
      </c>
      <c r="CS24" s="18">
        <f>SUM(CS26:CS89)/3</f>
        <v>1014.7800000000001</v>
      </c>
      <c r="CT24" s="18">
        <f>SUM(CT26:CT89)/3</f>
        <v>126</v>
      </c>
      <c r="CU24" s="18">
        <f>SUM(CU26:CU89)/3</f>
        <v>376.06831733333337</v>
      </c>
      <c r="CV24" s="18">
        <f>SUM(CV26:CV89)/3</f>
        <v>333.93168266666663</v>
      </c>
      <c r="CW24" s="18">
        <f>SUM(CW26:CW89)/3</f>
        <v>69.33333333333333</v>
      </c>
      <c r="CX24" s="18">
        <f>SUM(CX26:CX89)/3</f>
        <v>285</v>
      </c>
      <c r="CY24" s="18">
        <f>SUM(CY26:CY89)/3</f>
        <v>-14020.702</v>
      </c>
    </row>
    <row r="25" spans="1:103" ht="12.75">
      <c r="A25" s="11" t="s">
        <v>6</v>
      </c>
      <c r="B25" s="2" t="s">
        <v>246</v>
      </c>
      <c r="C25" s="12">
        <f>C24</f>
        <v>98206.33323100001</v>
      </c>
      <c r="D25" s="12">
        <f aca="true" t="shared" si="11" ref="D25:BI25">D24</f>
        <v>98206.33323100001</v>
      </c>
      <c r="E25" s="12">
        <f t="shared" si="11"/>
        <v>1240.484198</v>
      </c>
      <c r="F25" s="12">
        <f t="shared" si="11"/>
        <v>727.2903810000001</v>
      </c>
      <c r="G25" s="12">
        <f t="shared" si="11"/>
        <v>193.69725200000002</v>
      </c>
      <c r="H25" s="12">
        <f t="shared" si="11"/>
        <v>1157.385856</v>
      </c>
      <c r="I25" s="12">
        <f t="shared" si="11"/>
        <v>728.7713129999999</v>
      </c>
      <c r="J25" s="12">
        <f t="shared" si="11"/>
        <v>298.92379</v>
      </c>
      <c r="K25" s="12">
        <f t="shared" si="11"/>
        <v>40354.975583</v>
      </c>
      <c r="L25" s="12">
        <f t="shared" si="11"/>
        <v>284.898724</v>
      </c>
      <c r="M25" s="12">
        <f t="shared" si="11"/>
        <v>282.789074</v>
      </c>
      <c r="N25" s="12">
        <f t="shared" si="11"/>
        <v>822.5480039999999</v>
      </c>
      <c r="O25" s="12">
        <f t="shared" si="11"/>
        <v>1395.8283360000003</v>
      </c>
      <c r="P25" s="12">
        <f t="shared" si="11"/>
        <v>3405.3565830000002</v>
      </c>
      <c r="Q25" s="12">
        <f t="shared" si="11"/>
        <v>0</v>
      </c>
      <c r="R25" s="12">
        <f t="shared" si="11"/>
        <v>0</v>
      </c>
      <c r="S25" s="12">
        <f t="shared" si="11"/>
        <v>0</v>
      </c>
      <c r="T25" s="12">
        <f t="shared" si="11"/>
        <v>0</v>
      </c>
      <c r="U25" s="12">
        <f t="shared" si="11"/>
        <v>0</v>
      </c>
      <c r="V25" s="12">
        <f t="shared" si="11"/>
        <v>260</v>
      </c>
      <c r="W25" s="12">
        <f t="shared" si="11"/>
        <v>266</v>
      </c>
      <c r="X25" s="12">
        <f t="shared" si="11"/>
        <v>272</v>
      </c>
      <c r="Y25" s="12">
        <f t="shared" si="11"/>
        <v>87.5</v>
      </c>
      <c r="Z25" s="12">
        <f t="shared" si="11"/>
        <v>7.5</v>
      </c>
      <c r="AA25" s="12">
        <f t="shared" si="11"/>
        <v>37.5</v>
      </c>
      <c r="AB25" s="12">
        <f t="shared" si="11"/>
        <v>1036.5</v>
      </c>
      <c r="AC25" s="12">
        <f t="shared" si="11"/>
        <v>5368.349128</v>
      </c>
      <c r="AD25" s="12">
        <f t="shared" si="11"/>
        <v>3096.699932</v>
      </c>
      <c r="AE25" s="12">
        <f t="shared" si="11"/>
        <v>2275.3656149999997</v>
      </c>
      <c r="AF25" s="12">
        <f t="shared" si="11"/>
        <v>4551.707895999999</v>
      </c>
      <c r="AG25" s="12">
        <f t="shared" si="11"/>
        <v>3313.240752</v>
      </c>
      <c r="AH25" s="12">
        <f t="shared" si="11"/>
        <v>3306.3342159999997</v>
      </c>
      <c r="AI25" s="12">
        <f t="shared" si="11"/>
        <v>7484.8195399999995</v>
      </c>
      <c r="AJ25" s="12">
        <f t="shared" si="11"/>
        <v>1337.4632230000004</v>
      </c>
      <c r="AK25" s="12">
        <f t="shared" si="11"/>
        <v>3710.2419630000004</v>
      </c>
      <c r="AL25" s="12">
        <f t="shared" si="11"/>
        <v>4325.7219153333335</v>
      </c>
      <c r="AM25" s="12">
        <f t="shared" si="11"/>
        <v>2424.344877</v>
      </c>
      <c r="AN25" s="12">
        <f t="shared" si="11"/>
        <v>3848.224372999999</v>
      </c>
      <c r="AO25" s="12">
        <f t="shared" si="11"/>
        <v>2701.25</v>
      </c>
      <c r="AP25" s="12">
        <f t="shared" si="11"/>
        <v>2925.911182</v>
      </c>
      <c r="AQ25" s="12">
        <f t="shared" si="11"/>
        <v>2937.7511800000007</v>
      </c>
      <c r="AR25" s="12">
        <f t="shared" si="11"/>
        <v>2740.291677999999</v>
      </c>
      <c r="AS25" s="12">
        <f t="shared" si="11"/>
        <v>-104.71075800000028</v>
      </c>
      <c r="AT25" s="12">
        <f t="shared" si="11"/>
        <v>-218.14644000000007</v>
      </c>
      <c r="AU25" s="12">
        <f t="shared" si="11"/>
        <v>254.283</v>
      </c>
      <c r="AV25" s="12">
        <f t="shared" si="11"/>
        <v>-254.10299999999998</v>
      </c>
      <c r="AW25" s="12">
        <f t="shared" si="11"/>
        <v>666.4739999999999</v>
      </c>
      <c r="AX25" s="12">
        <f t="shared" si="11"/>
        <v>-38.45100000000002</v>
      </c>
      <c r="AY25" s="12">
        <f t="shared" si="11"/>
        <v>1161.878</v>
      </c>
      <c r="AZ25" s="12">
        <f t="shared" si="11"/>
        <v>-103.165</v>
      </c>
      <c r="BA25" s="12">
        <f t="shared" si="11"/>
        <v>245.62199999999999</v>
      </c>
      <c r="BB25" s="12">
        <f t="shared" si="11"/>
        <v>36.76200000000001</v>
      </c>
      <c r="BC25" s="12">
        <f t="shared" si="11"/>
        <v>-83.547</v>
      </c>
      <c r="BD25" s="12">
        <f t="shared" si="11"/>
        <v>76.16499999999998</v>
      </c>
      <c r="BE25" s="12">
        <f t="shared" si="11"/>
        <v>-204.81300000000002</v>
      </c>
      <c r="BF25" s="12">
        <f t="shared" si="11"/>
        <v>-28.687999999999988</v>
      </c>
      <c r="BG25" s="12">
        <f t="shared" si="11"/>
        <v>-220.61</v>
      </c>
      <c r="BH25" s="12">
        <f t="shared" si="11"/>
        <v>111.853</v>
      </c>
      <c r="BI25" s="12">
        <f t="shared" si="11"/>
        <v>-84.82900000000001</v>
      </c>
      <c r="BJ25" s="12">
        <f aca="true" t="shared" si="12" ref="BJ25:CT25">BJ24</f>
        <v>543.985</v>
      </c>
      <c r="BK25" s="12">
        <f t="shared" si="12"/>
        <v>-309</v>
      </c>
      <c r="BL25" s="12">
        <f t="shared" si="12"/>
        <v>-430</v>
      </c>
      <c r="BM25" s="12">
        <f t="shared" si="12"/>
        <v>-73</v>
      </c>
      <c r="BN25" s="12">
        <f t="shared" si="12"/>
        <v>-383</v>
      </c>
      <c r="BO25" s="12">
        <f t="shared" si="12"/>
        <v>58</v>
      </c>
      <c r="BP25" s="12">
        <f t="shared" si="12"/>
        <v>-620</v>
      </c>
      <c r="BQ25" s="12">
        <f t="shared" si="12"/>
        <v>1596</v>
      </c>
      <c r="BR25" s="12">
        <f t="shared" si="12"/>
        <v>-540</v>
      </c>
      <c r="BS25" s="12">
        <f t="shared" si="12"/>
        <v>-559</v>
      </c>
      <c r="BT25" s="12">
        <f t="shared" si="12"/>
        <v>-1650</v>
      </c>
      <c r="BU25" s="12">
        <f t="shared" si="12"/>
        <v>-193</v>
      </c>
      <c r="BV25" s="12">
        <f t="shared" si="12"/>
        <v>-434</v>
      </c>
      <c r="BW25" s="12">
        <f t="shared" si="12"/>
        <v>-572</v>
      </c>
      <c r="BX25" s="12">
        <f t="shared" si="12"/>
        <v>273</v>
      </c>
      <c r="BY25" s="12">
        <f t="shared" si="12"/>
        <v>-157</v>
      </c>
      <c r="BZ25" s="12">
        <f t="shared" si="12"/>
        <v>392</v>
      </c>
      <c r="CA25" s="12">
        <f t="shared" si="12"/>
        <v>352</v>
      </c>
      <c r="CB25" s="12">
        <f t="shared" si="12"/>
        <v>-63</v>
      </c>
      <c r="CC25" s="12">
        <f t="shared" si="12"/>
        <v>-214</v>
      </c>
      <c r="CD25" s="12">
        <f t="shared" si="12"/>
        <v>-366</v>
      </c>
      <c r="CE25" s="12">
        <f t="shared" si="12"/>
        <v>376</v>
      </c>
      <c r="CF25" s="12">
        <f t="shared" si="12"/>
        <v>-66</v>
      </c>
      <c r="CG25" s="12">
        <f t="shared" si="12"/>
        <v>371.74</v>
      </c>
      <c r="CH25" s="12">
        <f t="shared" si="12"/>
        <v>-117.375</v>
      </c>
      <c r="CI25" s="12">
        <f t="shared" si="12"/>
        <v>233.9699999999998</v>
      </c>
      <c r="CJ25" s="12">
        <f t="shared" si="12"/>
        <v>111.94499999999994</v>
      </c>
      <c r="CK25" s="12">
        <f t="shared" si="12"/>
        <v>-77.13</v>
      </c>
      <c r="CL25" s="12">
        <f t="shared" si="12"/>
        <v>205.95499999999993</v>
      </c>
      <c r="CM25" s="12">
        <f t="shared" si="12"/>
        <v>711.6500000000001</v>
      </c>
      <c r="CN25" s="12">
        <f t="shared" si="12"/>
        <v>714.41</v>
      </c>
      <c r="CO25" s="12">
        <f t="shared" si="12"/>
        <v>1123.4</v>
      </c>
      <c r="CP25" s="12">
        <f t="shared" si="12"/>
        <v>751.32</v>
      </c>
      <c r="CQ25" s="12">
        <f>CQ24</f>
        <v>-322.34180200000003</v>
      </c>
      <c r="CR25" s="12">
        <f t="shared" si="12"/>
        <v>-1993.58</v>
      </c>
      <c r="CS25" s="12">
        <f t="shared" si="12"/>
        <v>1014.7800000000001</v>
      </c>
      <c r="CT25" s="12">
        <f t="shared" si="12"/>
        <v>126</v>
      </c>
      <c r="CU25" s="12">
        <f>CU24</f>
        <v>376.06831733333337</v>
      </c>
      <c r="CV25" s="12">
        <f>CV24</f>
        <v>333.93168266666663</v>
      </c>
      <c r="CW25" s="12">
        <f>CW24</f>
        <v>69.33333333333333</v>
      </c>
      <c r="CX25" s="12">
        <f>CX24</f>
        <v>285</v>
      </c>
      <c r="CY25" s="12">
        <f>CY24</f>
        <v>-14020.702</v>
      </c>
    </row>
    <row r="26" spans="1:103" ht="12.75">
      <c r="A26" s="11">
        <v>1</v>
      </c>
      <c r="B26" s="2" t="s">
        <v>22</v>
      </c>
      <c r="C26" s="12">
        <f>D26</f>
        <v>19203.188231</v>
      </c>
      <c r="D26" s="18">
        <f>SUM(D27,D30)</f>
        <v>19203.188231</v>
      </c>
      <c r="E26" s="18">
        <f>SUM(E27,E30)</f>
        <v>1162.484198</v>
      </c>
      <c r="F26" s="18">
        <f aca="true" t="shared" si="13" ref="F26:BL26">SUM(F27,F30)</f>
        <v>727.290381</v>
      </c>
      <c r="G26" s="18">
        <f t="shared" si="13"/>
        <v>193.697252</v>
      </c>
      <c r="H26" s="18">
        <f t="shared" si="13"/>
        <v>1157.385856</v>
      </c>
      <c r="I26" s="18">
        <f t="shared" si="13"/>
        <v>728.771313</v>
      </c>
      <c r="J26" s="18">
        <f t="shared" si="13"/>
        <v>298.92379</v>
      </c>
      <c r="K26" s="18">
        <f t="shared" si="13"/>
        <v>345.160583</v>
      </c>
      <c r="L26" s="18">
        <f t="shared" si="13"/>
        <v>284.898724</v>
      </c>
      <c r="M26" s="18">
        <f t="shared" si="13"/>
        <v>282.789074</v>
      </c>
      <c r="N26" s="18">
        <f t="shared" si="13"/>
        <v>822.548004</v>
      </c>
      <c r="O26" s="18">
        <f t="shared" si="13"/>
        <v>459.468336</v>
      </c>
      <c r="P26" s="18">
        <f t="shared" si="13"/>
        <v>350.456583</v>
      </c>
      <c r="Q26" s="18">
        <f t="shared" si="13"/>
        <v>0</v>
      </c>
      <c r="R26" s="18">
        <f t="shared" si="13"/>
        <v>0</v>
      </c>
      <c r="S26" s="18">
        <f t="shared" si="13"/>
        <v>0</v>
      </c>
      <c r="T26" s="18"/>
      <c r="U26" s="18"/>
      <c r="V26" s="18">
        <f t="shared" si="13"/>
        <v>260</v>
      </c>
      <c r="W26" s="18">
        <f t="shared" si="13"/>
        <v>266</v>
      </c>
      <c r="X26" s="18">
        <f t="shared" si="13"/>
        <v>272</v>
      </c>
      <c r="Y26" s="18">
        <f t="shared" si="13"/>
        <v>87.5</v>
      </c>
      <c r="Z26" s="18">
        <f t="shared" si="13"/>
        <v>7.5</v>
      </c>
      <c r="AA26" s="18">
        <f t="shared" si="13"/>
        <v>0</v>
      </c>
      <c r="AB26" s="18">
        <f t="shared" si="13"/>
        <v>0</v>
      </c>
      <c r="AC26" s="18">
        <f t="shared" si="13"/>
        <v>708.497128</v>
      </c>
      <c r="AD26" s="18">
        <f>SUM(AD27,AD30)</f>
        <v>666.131932</v>
      </c>
      <c r="AE26" s="18">
        <f t="shared" si="13"/>
        <v>928.8216150000001</v>
      </c>
      <c r="AF26" s="18">
        <f t="shared" si="13"/>
        <v>642.907896</v>
      </c>
      <c r="AG26" s="18">
        <f t="shared" si="13"/>
        <v>873.113752</v>
      </c>
      <c r="AH26" s="18">
        <f t="shared" si="13"/>
        <v>864.7192160000001</v>
      </c>
      <c r="AI26" s="18">
        <f t="shared" si="13"/>
        <v>611.91954</v>
      </c>
      <c r="AJ26" s="18">
        <f t="shared" si="13"/>
        <v>727.823223</v>
      </c>
      <c r="AK26" s="18">
        <f t="shared" si="13"/>
        <v>847.960963</v>
      </c>
      <c r="AL26" s="18">
        <f t="shared" si="13"/>
        <v>148.733582</v>
      </c>
      <c r="AM26" s="18">
        <f t="shared" si="13"/>
        <v>993.674877</v>
      </c>
      <c r="AN26" s="18">
        <f t="shared" si="13"/>
        <v>602.684373</v>
      </c>
      <c r="AO26" s="18">
        <f t="shared" si="13"/>
        <v>958.5</v>
      </c>
      <c r="AP26" s="18">
        <f t="shared" si="13"/>
        <v>919.706182</v>
      </c>
      <c r="AQ26" s="18">
        <f t="shared" si="13"/>
        <v>557.31818</v>
      </c>
      <c r="AR26" s="18">
        <f t="shared" si="13"/>
        <v>747.119678</v>
      </c>
      <c r="AS26" s="18">
        <f t="shared" si="13"/>
        <v>0</v>
      </c>
      <c r="AT26" s="18">
        <f t="shared" si="13"/>
        <v>0</v>
      </c>
      <c r="AU26" s="18">
        <f t="shared" si="13"/>
        <v>0</v>
      </c>
      <c r="AV26" s="18">
        <f t="shared" si="13"/>
        <v>0</v>
      </c>
      <c r="AW26" s="18">
        <f t="shared" si="13"/>
        <v>0</v>
      </c>
      <c r="AX26" s="18">
        <f t="shared" si="13"/>
        <v>0</v>
      </c>
      <c r="AY26" s="18">
        <f t="shared" si="13"/>
        <v>0</v>
      </c>
      <c r="AZ26" s="18">
        <f t="shared" si="13"/>
        <v>0</v>
      </c>
      <c r="BA26" s="18">
        <f t="shared" si="13"/>
        <v>0</v>
      </c>
      <c r="BB26" s="18">
        <f t="shared" si="13"/>
        <v>0</v>
      </c>
      <c r="BC26" s="18">
        <f t="shared" si="13"/>
        <v>0</v>
      </c>
      <c r="BD26" s="18">
        <f t="shared" si="13"/>
        <v>0</v>
      </c>
      <c r="BE26" s="18">
        <f t="shared" si="13"/>
        <v>0</v>
      </c>
      <c r="BF26" s="18">
        <f t="shared" si="13"/>
        <v>0</v>
      </c>
      <c r="BG26" s="18">
        <f t="shared" si="13"/>
        <v>0</v>
      </c>
      <c r="BH26" s="18">
        <f t="shared" si="13"/>
        <v>0</v>
      </c>
      <c r="BI26" s="18">
        <f t="shared" si="13"/>
        <v>0</v>
      </c>
      <c r="BJ26" s="18">
        <f t="shared" si="13"/>
        <v>0</v>
      </c>
      <c r="BK26" s="18">
        <f t="shared" si="13"/>
        <v>0</v>
      </c>
      <c r="BL26" s="18">
        <f t="shared" si="13"/>
        <v>0</v>
      </c>
      <c r="BM26" s="18">
        <f aca="true" t="shared" si="14" ref="BM26:CT26">SUM(BM27,BM30)</f>
        <v>0</v>
      </c>
      <c r="BN26" s="18">
        <f t="shared" si="14"/>
        <v>0</v>
      </c>
      <c r="BO26" s="18">
        <f t="shared" si="14"/>
        <v>0</v>
      </c>
      <c r="BP26" s="18">
        <f t="shared" si="14"/>
        <v>0</v>
      </c>
      <c r="BQ26" s="18">
        <f t="shared" si="14"/>
        <v>0</v>
      </c>
      <c r="BR26" s="18">
        <f t="shared" si="14"/>
        <v>0</v>
      </c>
      <c r="BS26" s="18">
        <f t="shared" si="14"/>
        <v>0</v>
      </c>
      <c r="BT26" s="18">
        <f t="shared" si="14"/>
        <v>0</v>
      </c>
      <c r="BU26" s="18">
        <f t="shared" si="14"/>
        <v>0</v>
      </c>
      <c r="BV26" s="18">
        <f t="shared" si="14"/>
        <v>0</v>
      </c>
      <c r="BW26" s="18">
        <f t="shared" si="14"/>
        <v>0</v>
      </c>
      <c r="BX26" s="18">
        <f t="shared" si="14"/>
        <v>0</v>
      </c>
      <c r="BY26" s="18">
        <f t="shared" si="14"/>
        <v>0</v>
      </c>
      <c r="BZ26" s="18">
        <f t="shared" si="14"/>
        <v>0</v>
      </c>
      <c r="CA26" s="18">
        <f t="shared" si="14"/>
        <v>0</v>
      </c>
      <c r="CB26" s="18">
        <f t="shared" si="14"/>
        <v>0</v>
      </c>
      <c r="CC26" s="18">
        <f t="shared" si="14"/>
        <v>0</v>
      </c>
      <c r="CD26" s="18">
        <f t="shared" si="14"/>
        <v>0</v>
      </c>
      <c r="CE26" s="18">
        <f t="shared" si="14"/>
        <v>0</v>
      </c>
      <c r="CF26" s="18">
        <f t="shared" si="14"/>
        <v>0</v>
      </c>
      <c r="CG26" s="18">
        <f t="shared" si="14"/>
        <v>0</v>
      </c>
      <c r="CH26" s="18">
        <f t="shared" si="14"/>
        <v>0</v>
      </c>
      <c r="CI26" s="18">
        <f t="shared" si="14"/>
        <v>0</v>
      </c>
      <c r="CJ26" s="18">
        <f t="shared" si="14"/>
        <v>0</v>
      </c>
      <c r="CK26" s="18">
        <f t="shared" si="14"/>
        <v>0</v>
      </c>
      <c r="CL26" s="18">
        <f t="shared" si="14"/>
        <v>0</v>
      </c>
      <c r="CM26" s="18">
        <f t="shared" si="14"/>
        <v>0</v>
      </c>
      <c r="CN26" s="18">
        <f t="shared" si="14"/>
        <v>0</v>
      </c>
      <c r="CO26" s="18">
        <f t="shared" si="14"/>
        <v>0</v>
      </c>
      <c r="CP26" s="18">
        <f t="shared" si="14"/>
        <v>0</v>
      </c>
      <c r="CQ26" s="18">
        <f t="shared" si="14"/>
        <v>0</v>
      </c>
      <c r="CR26" s="18">
        <f t="shared" si="14"/>
        <v>0</v>
      </c>
      <c r="CS26" s="18">
        <f t="shared" si="14"/>
        <v>0</v>
      </c>
      <c r="CT26" s="18">
        <f t="shared" si="14"/>
        <v>0</v>
      </c>
      <c r="CU26" s="18">
        <f>SUM(CU27,CU30)</f>
        <v>0</v>
      </c>
      <c r="CV26" s="18">
        <f>SUM(CV27,CV30)</f>
        <v>0</v>
      </c>
      <c r="CW26" s="18">
        <f>SUM(CW27,CW30)</f>
        <v>0</v>
      </c>
      <c r="CX26" s="18">
        <f>SUM(CX27,CX30)</f>
        <v>0</v>
      </c>
      <c r="CY26" s="90">
        <f>CY27+CY30</f>
        <v>-303.318</v>
      </c>
    </row>
    <row r="27" spans="1:103" ht="12.75">
      <c r="A27" s="1" t="s">
        <v>9</v>
      </c>
      <c r="B27" s="28" t="s">
        <v>217</v>
      </c>
      <c r="C27" s="13">
        <f>D27</f>
        <v>-1413</v>
      </c>
      <c r="D27" s="13">
        <f>SUM(D28,D29)</f>
        <v>-1413</v>
      </c>
      <c r="E27" s="13">
        <f aca="true" t="shared" si="15" ref="E27:BL27">SUM(E28,E29)</f>
        <v>0</v>
      </c>
      <c r="F27" s="22">
        <f t="shared" si="15"/>
        <v>0</v>
      </c>
      <c r="G27" s="22">
        <f t="shared" si="15"/>
        <v>0</v>
      </c>
      <c r="H27" s="22">
        <f t="shared" si="15"/>
        <v>0</v>
      </c>
      <c r="I27" s="22">
        <f t="shared" si="15"/>
        <v>0</v>
      </c>
      <c r="J27" s="22">
        <f t="shared" si="15"/>
        <v>0</v>
      </c>
      <c r="K27" s="22">
        <f t="shared" si="15"/>
        <v>0</v>
      </c>
      <c r="L27" s="22">
        <f t="shared" si="15"/>
        <v>0</v>
      </c>
      <c r="M27" s="22">
        <f t="shared" si="15"/>
        <v>0</v>
      </c>
      <c r="N27" s="22">
        <f t="shared" si="15"/>
        <v>0</v>
      </c>
      <c r="O27" s="22">
        <f t="shared" si="15"/>
        <v>0</v>
      </c>
      <c r="P27" s="22">
        <f t="shared" si="15"/>
        <v>0</v>
      </c>
      <c r="Q27" s="22">
        <f t="shared" si="15"/>
        <v>0</v>
      </c>
      <c r="R27" s="22">
        <f t="shared" si="15"/>
        <v>0</v>
      </c>
      <c r="S27" s="22">
        <f t="shared" si="15"/>
        <v>0</v>
      </c>
      <c r="T27" s="22"/>
      <c r="U27" s="22"/>
      <c r="V27" s="22">
        <f t="shared" si="15"/>
        <v>0</v>
      </c>
      <c r="W27" s="22">
        <f t="shared" si="15"/>
        <v>0</v>
      </c>
      <c r="X27" s="22">
        <f t="shared" si="15"/>
        <v>0</v>
      </c>
      <c r="Y27" s="22">
        <f t="shared" si="15"/>
        <v>0</v>
      </c>
      <c r="Z27" s="22">
        <f t="shared" si="15"/>
        <v>0</v>
      </c>
      <c r="AA27" s="22">
        <f t="shared" si="15"/>
        <v>0</v>
      </c>
      <c r="AB27" s="22">
        <f t="shared" si="15"/>
        <v>0</v>
      </c>
      <c r="AC27" s="22">
        <f t="shared" si="15"/>
        <v>-235.426</v>
      </c>
      <c r="AD27" s="22">
        <f t="shared" si="15"/>
        <v>-117.713</v>
      </c>
      <c r="AE27" s="22">
        <f t="shared" si="15"/>
        <v>-117.713</v>
      </c>
      <c r="AF27" s="22">
        <f t="shared" si="15"/>
        <v>-117.713</v>
      </c>
      <c r="AG27" s="22">
        <f t="shared" si="15"/>
        <v>-117.713</v>
      </c>
      <c r="AH27" s="22">
        <f t="shared" si="15"/>
        <v>-117.713</v>
      </c>
      <c r="AI27" s="22">
        <f t="shared" si="15"/>
        <v>0</v>
      </c>
      <c r="AJ27" s="22">
        <f t="shared" si="15"/>
        <v>0</v>
      </c>
      <c r="AK27" s="22">
        <f t="shared" si="15"/>
        <v>-235.426</v>
      </c>
      <c r="AL27" s="22">
        <f t="shared" si="15"/>
        <v>-235.426</v>
      </c>
      <c r="AM27" s="22">
        <f t="shared" si="15"/>
        <v>117.491</v>
      </c>
      <c r="AN27" s="22">
        <f t="shared" si="15"/>
        <v>-235.426</v>
      </c>
      <c r="AO27" s="22">
        <f t="shared" si="15"/>
        <v>0</v>
      </c>
      <c r="AP27" s="22">
        <f t="shared" si="15"/>
        <v>117.491</v>
      </c>
      <c r="AQ27" s="22">
        <f t="shared" si="15"/>
        <v>-117.713</v>
      </c>
      <c r="AR27" s="22">
        <f t="shared" si="15"/>
        <v>0</v>
      </c>
      <c r="AS27" s="22">
        <f t="shared" si="15"/>
        <v>0</v>
      </c>
      <c r="AT27" s="22">
        <f t="shared" si="15"/>
        <v>0</v>
      </c>
      <c r="AU27" s="22">
        <f t="shared" si="15"/>
        <v>0</v>
      </c>
      <c r="AV27" s="22">
        <f t="shared" si="15"/>
        <v>0</v>
      </c>
      <c r="AW27" s="22">
        <f t="shared" si="15"/>
        <v>0</v>
      </c>
      <c r="AX27" s="22">
        <f t="shared" si="15"/>
        <v>0</v>
      </c>
      <c r="AY27" s="22">
        <f t="shared" si="15"/>
        <v>0</v>
      </c>
      <c r="AZ27" s="22">
        <f t="shared" si="15"/>
        <v>0</v>
      </c>
      <c r="BA27" s="22">
        <f t="shared" si="15"/>
        <v>0</v>
      </c>
      <c r="BB27" s="22">
        <f t="shared" si="15"/>
        <v>0</v>
      </c>
      <c r="BC27" s="22">
        <f t="shared" si="15"/>
        <v>0</v>
      </c>
      <c r="BD27" s="22">
        <f t="shared" si="15"/>
        <v>0</v>
      </c>
      <c r="BE27" s="22">
        <f t="shared" si="15"/>
        <v>0</v>
      </c>
      <c r="BF27" s="22">
        <f t="shared" si="15"/>
        <v>0</v>
      </c>
      <c r="BG27" s="22">
        <f t="shared" si="15"/>
        <v>0</v>
      </c>
      <c r="BH27" s="22">
        <f t="shared" si="15"/>
        <v>0</v>
      </c>
      <c r="BI27" s="22">
        <f t="shared" si="15"/>
        <v>0</v>
      </c>
      <c r="BJ27" s="22">
        <f t="shared" si="15"/>
        <v>0</v>
      </c>
      <c r="BK27" s="22">
        <f t="shared" si="15"/>
        <v>0</v>
      </c>
      <c r="BL27" s="22">
        <f t="shared" si="15"/>
        <v>0</v>
      </c>
      <c r="BM27" s="22">
        <f aca="true" t="shared" si="16" ref="BM27:CT27">SUM(BM28,BM29)</f>
        <v>0</v>
      </c>
      <c r="BN27" s="22">
        <f t="shared" si="16"/>
        <v>0</v>
      </c>
      <c r="BO27" s="22">
        <f t="shared" si="16"/>
        <v>0</v>
      </c>
      <c r="BP27" s="22">
        <f t="shared" si="16"/>
        <v>0</v>
      </c>
      <c r="BQ27" s="22">
        <f t="shared" si="16"/>
        <v>0</v>
      </c>
      <c r="BR27" s="22">
        <f t="shared" si="16"/>
        <v>0</v>
      </c>
      <c r="BS27" s="22">
        <f t="shared" si="16"/>
        <v>0</v>
      </c>
      <c r="BT27" s="22">
        <f t="shared" si="16"/>
        <v>0</v>
      </c>
      <c r="BU27" s="22">
        <f t="shared" si="16"/>
        <v>0</v>
      </c>
      <c r="BV27" s="22">
        <f t="shared" si="16"/>
        <v>0</v>
      </c>
      <c r="BW27" s="22">
        <f t="shared" si="16"/>
        <v>0</v>
      </c>
      <c r="BX27" s="22">
        <f t="shared" si="16"/>
        <v>0</v>
      </c>
      <c r="BY27" s="22">
        <f t="shared" si="16"/>
        <v>0</v>
      </c>
      <c r="BZ27" s="22">
        <f t="shared" si="16"/>
        <v>0</v>
      </c>
      <c r="CA27" s="22">
        <f t="shared" si="16"/>
        <v>0</v>
      </c>
      <c r="CB27" s="22">
        <f t="shared" si="16"/>
        <v>0</v>
      </c>
      <c r="CC27" s="22">
        <f t="shared" si="16"/>
        <v>0</v>
      </c>
      <c r="CD27" s="22">
        <f t="shared" si="16"/>
        <v>0</v>
      </c>
      <c r="CE27" s="22">
        <f t="shared" si="16"/>
        <v>0</v>
      </c>
      <c r="CF27" s="22">
        <f t="shared" si="16"/>
        <v>0</v>
      </c>
      <c r="CG27" s="22">
        <f t="shared" si="16"/>
        <v>0</v>
      </c>
      <c r="CH27" s="22">
        <f t="shared" si="16"/>
        <v>0</v>
      </c>
      <c r="CI27" s="22">
        <f t="shared" si="16"/>
        <v>0</v>
      </c>
      <c r="CJ27" s="22">
        <f t="shared" si="16"/>
        <v>0</v>
      </c>
      <c r="CK27" s="22">
        <f t="shared" si="16"/>
        <v>0</v>
      </c>
      <c r="CL27" s="22">
        <f t="shared" si="16"/>
        <v>0</v>
      </c>
      <c r="CM27" s="22">
        <f t="shared" si="16"/>
        <v>0</v>
      </c>
      <c r="CN27" s="22">
        <f t="shared" si="16"/>
        <v>0</v>
      </c>
      <c r="CO27" s="22">
        <f t="shared" si="16"/>
        <v>0</v>
      </c>
      <c r="CP27" s="22">
        <f t="shared" si="16"/>
        <v>0</v>
      </c>
      <c r="CQ27" s="22">
        <f t="shared" si="16"/>
        <v>0</v>
      </c>
      <c r="CR27" s="22">
        <f t="shared" si="16"/>
        <v>0</v>
      </c>
      <c r="CS27" s="22">
        <f t="shared" si="16"/>
        <v>0</v>
      </c>
      <c r="CT27" s="22">
        <f t="shared" si="16"/>
        <v>0</v>
      </c>
      <c r="CU27" s="22">
        <f>SUM(CU28,CU29)</f>
        <v>0</v>
      </c>
      <c r="CV27" s="22">
        <f>SUM(CV28,CV29)</f>
        <v>0</v>
      </c>
      <c r="CW27" s="22">
        <f>SUM(CW28,CW29)</f>
        <v>0</v>
      </c>
      <c r="CX27" s="22">
        <f>SUM(CX28,CX29)</f>
        <v>0</v>
      </c>
      <c r="CY27" s="19"/>
    </row>
    <row r="28" spans="1:103" s="32" customFormat="1" ht="12.75">
      <c r="A28" s="29"/>
      <c r="B28" s="30" t="s">
        <v>1</v>
      </c>
      <c r="C28" s="9">
        <f>D28</f>
        <v>-1345.8</v>
      </c>
      <c r="D28" s="9">
        <f>SUM(E28:CT28)</f>
        <v>-1345.8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>
        <f>ROUND('[1]Phân bổ 2022'!R39,0)</f>
        <v>0</v>
      </c>
      <c r="R28" s="9">
        <f>ROUND('[1]Phân bổ 2022'!S39,0)</f>
        <v>0</v>
      </c>
      <c r="S28" s="9">
        <f>ROUND('[1]Phân bổ 2022'!T39,0)</f>
        <v>0</v>
      </c>
      <c r="T28" s="9"/>
      <c r="U28" s="9"/>
      <c r="V28" s="9"/>
      <c r="W28" s="9"/>
      <c r="X28" s="9"/>
      <c r="Y28" s="9"/>
      <c r="Z28" s="9"/>
      <c r="AA28" s="9"/>
      <c r="AB28" s="9"/>
      <c r="AC28" s="31">
        <f>-224.226</f>
        <v>-224.226</v>
      </c>
      <c r="AD28" s="31">
        <f>-112.113</f>
        <v>-112.113</v>
      </c>
      <c r="AE28" s="31">
        <f>-112.113</f>
        <v>-112.113</v>
      </c>
      <c r="AF28" s="31">
        <f>-112.113</f>
        <v>-112.113</v>
      </c>
      <c r="AG28" s="31">
        <f>-112.113</f>
        <v>-112.113</v>
      </c>
      <c r="AH28" s="31">
        <f>-112.113</f>
        <v>-112.113</v>
      </c>
      <c r="AI28" s="31"/>
      <c r="AJ28" s="31"/>
      <c r="AK28" s="31">
        <f>-224.226</f>
        <v>-224.226</v>
      </c>
      <c r="AL28" s="31">
        <f>-224.226</f>
        <v>-224.226</v>
      </c>
      <c r="AM28" s="31">
        <f>111.891</f>
        <v>111.891</v>
      </c>
      <c r="AN28" s="31">
        <f>-224.226</f>
        <v>-224.226</v>
      </c>
      <c r="AO28" s="31"/>
      <c r="AP28" s="31">
        <f>111.891</f>
        <v>111.891</v>
      </c>
      <c r="AQ28" s="31">
        <f>-112.113</f>
        <v>-112.113</v>
      </c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91"/>
    </row>
    <row r="29" spans="1:103" s="32" customFormat="1" ht="25.5">
      <c r="A29" s="29"/>
      <c r="B29" s="96" t="s">
        <v>2</v>
      </c>
      <c r="C29" s="9">
        <f>D29</f>
        <v>-67.2</v>
      </c>
      <c r="D29" s="9">
        <f>SUM(E29:CT29)</f>
        <v>-67.2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31">
        <f>-11.2</f>
        <v>-11.2</v>
      </c>
      <c r="AD29" s="31">
        <f>-5.6</f>
        <v>-5.6</v>
      </c>
      <c r="AE29" s="31">
        <f>-5.6</f>
        <v>-5.6</v>
      </c>
      <c r="AF29" s="31">
        <f>-5.6</f>
        <v>-5.6</v>
      </c>
      <c r="AG29" s="31">
        <f>-5.6</f>
        <v>-5.6</v>
      </c>
      <c r="AH29" s="31">
        <f>-5.6</f>
        <v>-5.6</v>
      </c>
      <c r="AI29" s="31"/>
      <c r="AJ29" s="31"/>
      <c r="AK29" s="31">
        <f>-11.2</f>
        <v>-11.2</v>
      </c>
      <c r="AL29" s="31">
        <f>-11.2</f>
        <v>-11.2</v>
      </c>
      <c r="AM29" s="31">
        <f>5.6</f>
        <v>5.6</v>
      </c>
      <c r="AN29" s="31">
        <f>-11.2</f>
        <v>-11.2</v>
      </c>
      <c r="AO29" s="31"/>
      <c r="AP29" s="31">
        <f>5.6</f>
        <v>5.6</v>
      </c>
      <c r="AQ29" s="31">
        <f>-5.6</f>
        <v>-5.6</v>
      </c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91"/>
    </row>
    <row r="30" spans="1:103" s="8" customFormat="1" ht="12.75">
      <c r="A30" s="33" t="s">
        <v>11</v>
      </c>
      <c r="B30" s="28" t="s">
        <v>218</v>
      </c>
      <c r="C30" s="5">
        <f>D30</f>
        <v>20616.188231</v>
      </c>
      <c r="D30" s="5">
        <f>SUM(D31:D34)</f>
        <v>20616.188231</v>
      </c>
      <c r="E30" s="5">
        <f>SUM(E31:E34)</f>
        <v>1162.484198</v>
      </c>
      <c r="F30" s="5">
        <f>SUM(F31:F34)</f>
        <v>727.290381</v>
      </c>
      <c r="G30" s="5">
        <f>SUM(G31:G34)</f>
        <v>193.697252</v>
      </c>
      <c r="H30" s="5">
        <f>SUM(H31:H34)</f>
        <v>1157.385856</v>
      </c>
      <c r="I30" s="5">
        <f>SUM(I31:I34)</f>
        <v>728.771313</v>
      </c>
      <c r="J30" s="5">
        <f>SUM(J31:J34)</f>
        <v>298.92379</v>
      </c>
      <c r="K30" s="5">
        <f>SUM(K31:K34)</f>
        <v>345.160583</v>
      </c>
      <c r="L30" s="5">
        <f>SUM(L31:L34)</f>
        <v>284.898724</v>
      </c>
      <c r="M30" s="5">
        <f>SUM(M31:M34)</f>
        <v>282.789074</v>
      </c>
      <c r="N30" s="5">
        <f>SUM(N31:N34)</f>
        <v>822.548004</v>
      </c>
      <c r="O30" s="5">
        <f>SUM(O31:O34)</f>
        <v>459.468336</v>
      </c>
      <c r="P30" s="5">
        <f>SUM(P31:P34)</f>
        <v>350.456583</v>
      </c>
      <c r="Q30" s="5">
        <f>SUM(Q31:Q34)</f>
        <v>0</v>
      </c>
      <c r="R30" s="5">
        <f>SUM(R31:R34)</f>
        <v>0</v>
      </c>
      <c r="S30" s="5">
        <f>SUM(S31:S34)</f>
        <v>0</v>
      </c>
      <c r="T30" s="5"/>
      <c r="U30" s="5"/>
      <c r="V30" s="5">
        <f>SUM(V31:V34)</f>
        <v>260</v>
      </c>
      <c r="W30" s="5">
        <f>SUM(W31:W34)</f>
        <v>266</v>
      </c>
      <c r="X30" s="5">
        <f>SUM(X31:X34)</f>
        <v>272</v>
      </c>
      <c r="Y30" s="5">
        <f>SUM(Y31:Y34)</f>
        <v>87.5</v>
      </c>
      <c r="Z30" s="5">
        <f>SUM(Z31:Z34)</f>
        <v>7.5</v>
      </c>
      <c r="AA30" s="5">
        <f>SUM(AA31:AA34)</f>
        <v>0</v>
      </c>
      <c r="AB30" s="5">
        <f>SUM(AB31:AB34)</f>
        <v>0</v>
      </c>
      <c r="AC30" s="5">
        <f>SUM(AC31:AC34)</f>
        <v>943.923128</v>
      </c>
      <c r="AD30" s="5">
        <f aca="true" t="shared" si="17" ref="AD30:AR30">SUM(AD31:AD34)</f>
        <v>783.844932</v>
      </c>
      <c r="AE30" s="5">
        <f t="shared" si="17"/>
        <v>1046.534615</v>
      </c>
      <c r="AF30" s="5">
        <f t="shared" si="17"/>
        <v>760.620896</v>
      </c>
      <c r="AG30" s="5">
        <f t="shared" si="17"/>
        <v>990.8267519999999</v>
      </c>
      <c r="AH30" s="5">
        <f t="shared" si="17"/>
        <v>982.432216</v>
      </c>
      <c r="AI30" s="5">
        <f t="shared" si="17"/>
        <v>611.91954</v>
      </c>
      <c r="AJ30" s="5">
        <f t="shared" si="17"/>
        <v>727.823223</v>
      </c>
      <c r="AK30" s="5">
        <f t="shared" si="17"/>
        <v>1083.386963</v>
      </c>
      <c r="AL30" s="5">
        <f t="shared" si="17"/>
        <v>384.159582</v>
      </c>
      <c r="AM30" s="5">
        <f t="shared" si="17"/>
        <v>876.183877</v>
      </c>
      <c r="AN30" s="5">
        <f t="shared" si="17"/>
        <v>838.110373</v>
      </c>
      <c r="AO30" s="5">
        <f t="shared" si="17"/>
        <v>958.5</v>
      </c>
      <c r="AP30" s="5">
        <f t="shared" si="17"/>
        <v>802.215182</v>
      </c>
      <c r="AQ30" s="5">
        <f t="shared" si="17"/>
        <v>675.03118</v>
      </c>
      <c r="AR30" s="5">
        <f t="shared" si="17"/>
        <v>747.119678</v>
      </c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92">
        <f>CY31+CY32+CY33</f>
        <v>-303.318</v>
      </c>
    </row>
    <row r="31" spans="1:103" s="32" customFormat="1" ht="12.75">
      <c r="A31" s="29"/>
      <c r="B31" s="30" t="s">
        <v>3</v>
      </c>
      <c r="C31" s="9">
        <f>D31</f>
        <v>2888.442</v>
      </c>
      <c r="D31" s="9">
        <f>SUM(E31:CY31)</f>
        <v>2888.442</v>
      </c>
      <c r="E31" s="9">
        <v>43.5</v>
      </c>
      <c r="F31" s="9">
        <v>28.5</v>
      </c>
      <c r="G31" s="9">
        <f>9</f>
        <v>9</v>
      </c>
      <c r="H31" s="9">
        <f>114</f>
        <v>114</v>
      </c>
      <c r="I31" s="9">
        <v>28.5</v>
      </c>
      <c r="J31" s="9">
        <v>13.5</v>
      </c>
      <c r="K31" s="9">
        <v>18</v>
      </c>
      <c r="L31" s="9">
        <f>13.5</f>
        <v>13.5</v>
      </c>
      <c r="M31" s="9">
        <v>13.5</v>
      </c>
      <c r="N31" s="9">
        <f>22.5</f>
        <v>22.5</v>
      </c>
      <c r="O31" s="9">
        <f>16.5</f>
        <v>16.5</v>
      </c>
      <c r="P31" s="9">
        <f>10.5</f>
        <v>10.5</v>
      </c>
      <c r="Q31" s="9"/>
      <c r="R31" s="9"/>
      <c r="S31" s="9"/>
      <c r="T31" s="9"/>
      <c r="U31" s="9"/>
      <c r="V31" s="9">
        <f>12+6</f>
        <v>18</v>
      </c>
      <c r="W31" s="9">
        <f>12+3</f>
        <v>15</v>
      </c>
      <c r="X31" s="9">
        <v>12</v>
      </c>
      <c r="Y31" s="9">
        <v>7.5</v>
      </c>
      <c r="Z31" s="9">
        <v>7.5</v>
      </c>
      <c r="AA31" s="9"/>
      <c r="AB31" s="9"/>
      <c r="AC31" s="31">
        <f>28.5+144.25</f>
        <v>172.75</v>
      </c>
      <c r="AD31" s="31">
        <f>27+166</f>
        <v>193</v>
      </c>
      <c r="AE31" s="31">
        <f>28.5+160</f>
        <v>188.5</v>
      </c>
      <c r="AF31" s="31">
        <f>27+139</f>
        <v>166</v>
      </c>
      <c r="AG31" s="31">
        <f>27+11.92+144</f>
        <v>182.92000000000002</v>
      </c>
      <c r="AH31" s="31">
        <f>28.5+156</f>
        <v>184.5</v>
      </c>
      <c r="AI31" s="31">
        <f>28.5+159.75</f>
        <v>188.25</v>
      </c>
      <c r="AJ31" s="31">
        <f>27+165.5</f>
        <v>192.5</v>
      </c>
      <c r="AK31" s="31">
        <f>27+145</f>
        <v>172</v>
      </c>
      <c r="AL31" s="31">
        <f>27+11.92+137.5</f>
        <v>176.42000000000002</v>
      </c>
      <c r="AM31" s="31">
        <f>27+143.5</f>
        <v>170.5</v>
      </c>
      <c r="AN31" s="31">
        <f>28.5+11.92+124.75</f>
        <v>165.17000000000002</v>
      </c>
      <c r="AO31" s="31">
        <f>27+148.5</f>
        <v>175.5</v>
      </c>
      <c r="AP31" s="31">
        <f>27+164.5</f>
        <v>191.5</v>
      </c>
      <c r="AQ31" s="31">
        <f>27+101.5</f>
        <v>128.5</v>
      </c>
      <c r="AR31" s="31">
        <f>28.5+123.75</f>
        <v>152.25</v>
      </c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91">
        <f>-'[4]PL1'!$L$10/1000000</f>
        <v>-303.318</v>
      </c>
    </row>
    <row r="32" spans="1:103" ht="25.5" hidden="1">
      <c r="A32" s="1"/>
      <c r="B32" s="97" t="s">
        <v>2</v>
      </c>
      <c r="C32" s="7">
        <f>SUM(D32:CT32)</f>
        <v>0</v>
      </c>
      <c r="D32" s="9">
        <f>SUM(E32:CY32)</f>
        <v>0</v>
      </c>
      <c r="E32" s="9">
        <f>ROUND('[1]Phân bổ 2022'!F43,0)</f>
        <v>0</v>
      </c>
      <c r="F32" s="9">
        <f>ROUND('[1]Phân bổ 2022'!G43,0)</f>
        <v>0</v>
      </c>
      <c r="G32" s="9">
        <f>ROUND('[1]Phân bổ 2022'!H43,0)</f>
        <v>0</v>
      </c>
      <c r="H32" s="9">
        <f>ROUND('[1]Phân bổ 2022'!I43,0)</f>
        <v>0</v>
      </c>
      <c r="I32" s="9">
        <f>ROUND('[1]Phân bổ 2022'!J43,0)</f>
        <v>0</v>
      </c>
      <c r="J32" s="9">
        <f>ROUND('[1]Phân bổ 2022'!K43,0)</f>
        <v>0</v>
      </c>
      <c r="K32" s="9">
        <f>ROUND('[1]Phân bổ 2022'!L43,0)</f>
        <v>0</v>
      </c>
      <c r="L32" s="9">
        <f>ROUND('[1]Phân bổ 2022'!M43,0)</f>
        <v>0</v>
      </c>
      <c r="M32" s="9">
        <f>ROUND('[1]Phân bổ 2022'!N43,0)</f>
        <v>0</v>
      </c>
      <c r="N32" s="9">
        <f>ROUND('[1]Phân bổ 2022'!O43,0)</f>
        <v>0</v>
      </c>
      <c r="O32" s="9">
        <f>ROUND('[1]Phân bổ 2022'!P43,0)</f>
        <v>0</v>
      </c>
      <c r="P32" s="9">
        <f>ROUND('[1]Phân bổ 2022'!Q43,0)</f>
        <v>0</v>
      </c>
      <c r="Q32" s="9">
        <f>ROUND('[1]Phân bổ 2022'!R43,0)</f>
        <v>0</v>
      </c>
      <c r="R32" s="9">
        <f>ROUND('[1]Phân bổ 2022'!S43,0)</f>
        <v>0</v>
      </c>
      <c r="S32" s="9">
        <f>ROUND('[1]Phân bổ 2022'!T43,0)</f>
        <v>0</v>
      </c>
      <c r="T32" s="9"/>
      <c r="U32" s="9"/>
      <c r="V32" s="9"/>
      <c r="W32" s="9"/>
      <c r="X32" s="9"/>
      <c r="Y32" s="9"/>
      <c r="Z32" s="31"/>
      <c r="AA32" s="31"/>
      <c r="AB32" s="31"/>
      <c r="AC32" s="31">
        <f>ROUND('[5]khoi phuong'!F36,0)</f>
        <v>0</v>
      </c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</row>
    <row r="33" spans="1:103" s="38" customFormat="1" ht="25.5">
      <c r="A33" s="35"/>
      <c r="B33" s="51" t="s">
        <v>45</v>
      </c>
      <c r="C33" s="7">
        <f>D33</f>
        <v>17727.746231</v>
      </c>
      <c r="D33" s="9">
        <f>SUM(E33:CY33)</f>
        <v>17727.746231</v>
      </c>
      <c r="E33" s="7">
        <v>1118.984198</v>
      </c>
      <c r="F33" s="7">
        <v>698.790381</v>
      </c>
      <c r="G33" s="7">
        <v>184.697252</v>
      </c>
      <c r="H33" s="7">
        <v>1043.385856</v>
      </c>
      <c r="I33" s="7">
        <v>700.271313</v>
      </c>
      <c r="J33" s="7">
        <v>285.42379</v>
      </c>
      <c r="K33" s="7">
        <v>327.160583</v>
      </c>
      <c r="L33" s="7">
        <v>271.398724</v>
      </c>
      <c r="M33" s="7">
        <v>269.289074</v>
      </c>
      <c r="N33" s="7">
        <v>800.048004</v>
      </c>
      <c r="O33" s="7">
        <v>442.968336</v>
      </c>
      <c r="P33" s="7">
        <v>339.956583</v>
      </c>
      <c r="Q33" s="7"/>
      <c r="R33" s="7"/>
      <c r="S33" s="7"/>
      <c r="T33" s="7"/>
      <c r="U33" s="7"/>
      <c r="V33" s="7">
        <f>242</f>
        <v>242</v>
      </c>
      <c r="W33" s="7">
        <v>251</v>
      </c>
      <c r="X33" s="7">
        <v>260</v>
      </c>
      <c r="Y33" s="7">
        <v>80</v>
      </c>
      <c r="Z33" s="7"/>
      <c r="AA33" s="7"/>
      <c r="AB33" s="37"/>
      <c r="AC33" s="7">
        <v>771.173128</v>
      </c>
      <c r="AD33" s="7">
        <v>590.844932</v>
      </c>
      <c r="AE33" s="7">
        <v>858.034615</v>
      </c>
      <c r="AF33" s="7">
        <v>594.620896</v>
      </c>
      <c r="AG33" s="7">
        <v>807.906752</v>
      </c>
      <c r="AH33" s="7">
        <v>797.932216</v>
      </c>
      <c r="AI33" s="7">
        <v>423.66954</v>
      </c>
      <c r="AJ33" s="7">
        <v>535.323223</v>
      </c>
      <c r="AK33" s="7">
        <v>911.386963</v>
      </c>
      <c r="AL33" s="7">
        <f>207.739582</f>
        <v>207.739582</v>
      </c>
      <c r="AM33" s="7">
        <v>705.683877</v>
      </c>
      <c r="AN33" s="7">
        <v>672.940373</v>
      </c>
      <c r="AO33" s="7">
        <v>783</v>
      </c>
      <c r="AP33" s="7">
        <v>610.715182</v>
      </c>
      <c r="AQ33" s="7">
        <v>546.53118</v>
      </c>
      <c r="AR33" s="7">
        <v>594.869678</v>
      </c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</row>
    <row r="34" spans="1:103" s="8" customFormat="1" ht="12.75" hidden="1">
      <c r="A34" s="33"/>
      <c r="B34" s="36" t="s">
        <v>46</v>
      </c>
      <c r="C34" s="7">
        <f>D34</f>
        <v>0</v>
      </c>
      <c r="D34" s="7">
        <f>SUM(E34:CT34)</f>
        <v>0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3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</row>
    <row r="35" spans="1:103" ht="12.75">
      <c r="A35" s="11">
        <v>2</v>
      </c>
      <c r="B35" s="2" t="s">
        <v>17</v>
      </c>
      <c r="C35" s="18">
        <f>D35</f>
        <v>-12055.640000000003</v>
      </c>
      <c r="D35" s="18">
        <f>SUM(D36,D39)</f>
        <v>-12055.640000000003</v>
      </c>
      <c r="E35" s="18">
        <f aca="true" t="shared" si="18" ref="E35:BK35">SUM(E36,E39)</f>
        <v>0</v>
      </c>
      <c r="F35" s="39">
        <f t="shared" si="18"/>
        <v>0</v>
      </c>
      <c r="G35" s="39">
        <f t="shared" si="18"/>
        <v>0</v>
      </c>
      <c r="H35" s="39">
        <f t="shared" si="18"/>
        <v>0</v>
      </c>
      <c r="I35" s="39">
        <f t="shared" si="18"/>
        <v>0</v>
      </c>
      <c r="J35" s="39">
        <f t="shared" si="18"/>
        <v>0</v>
      </c>
      <c r="K35" s="39">
        <f t="shared" si="18"/>
        <v>0</v>
      </c>
      <c r="L35" s="39">
        <f t="shared" si="18"/>
        <v>0</v>
      </c>
      <c r="M35" s="39">
        <f t="shared" si="18"/>
        <v>0</v>
      </c>
      <c r="N35" s="39">
        <f t="shared" si="18"/>
        <v>0</v>
      </c>
      <c r="O35" s="39">
        <f t="shared" si="18"/>
        <v>936.36</v>
      </c>
      <c r="P35" s="39">
        <f t="shared" si="18"/>
        <v>0</v>
      </c>
      <c r="Q35" s="39">
        <f t="shared" si="18"/>
        <v>0</v>
      </c>
      <c r="R35" s="39">
        <f t="shared" si="18"/>
        <v>0</v>
      </c>
      <c r="S35" s="39">
        <f t="shared" si="18"/>
        <v>0</v>
      </c>
      <c r="T35" s="39"/>
      <c r="U35" s="39"/>
      <c r="V35" s="39">
        <f t="shared" si="18"/>
        <v>0</v>
      </c>
      <c r="W35" s="39">
        <f t="shared" si="18"/>
        <v>0</v>
      </c>
      <c r="X35" s="39">
        <f t="shared" si="18"/>
        <v>0</v>
      </c>
      <c r="Y35" s="39">
        <f t="shared" si="18"/>
        <v>0</v>
      </c>
      <c r="Z35" s="39">
        <f t="shared" si="18"/>
        <v>0</v>
      </c>
      <c r="AA35" s="39">
        <f t="shared" si="18"/>
        <v>0</v>
      </c>
      <c r="AB35" s="39">
        <f t="shared" si="18"/>
        <v>0</v>
      </c>
      <c r="AC35" s="39">
        <f t="shared" si="18"/>
        <v>0</v>
      </c>
      <c r="AD35" s="39">
        <f t="shared" si="18"/>
        <v>0</v>
      </c>
      <c r="AE35" s="39">
        <f t="shared" si="18"/>
        <v>0</v>
      </c>
      <c r="AF35" s="39">
        <f t="shared" si="18"/>
        <v>0</v>
      </c>
      <c r="AG35" s="39">
        <f t="shared" si="18"/>
        <v>0</v>
      </c>
      <c r="AH35" s="39">
        <f t="shared" si="18"/>
        <v>0</v>
      </c>
      <c r="AI35" s="39">
        <f t="shared" si="18"/>
        <v>0</v>
      </c>
      <c r="AJ35" s="39">
        <f t="shared" si="18"/>
        <v>0</v>
      </c>
      <c r="AK35" s="39">
        <f t="shared" si="18"/>
        <v>0</v>
      </c>
      <c r="AL35" s="39">
        <f t="shared" si="18"/>
        <v>0</v>
      </c>
      <c r="AM35" s="39">
        <f t="shared" si="18"/>
        <v>0</v>
      </c>
      <c r="AN35" s="39">
        <f t="shared" si="18"/>
        <v>0</v>
      </c>
      <c r="AO35" s="39">
        <f t="shared" si="18"/>
        <v>0</v>
      </c>
      <c r="AP35" s="39">
        <f t="shared" si="18"/>
        <v>0</v>
      </c>
      <c r="AQ35" s="39">
        <f t="shared" si="18"/>
        <v>0</v>
      </c>
      <c r="AR35" s="39">
        <f t="shared" si="18"/>
        <v>0</v>
      </c>
      <c r="AS35" s="39">
        <f t="shared" si="18"/>
        <v>-104.71075800000028</v>
      </c>
      <c r="AT35" s="39">
        <f t="shared" si="18"/>
        <v>-218.14644000000007</v>
      </c>
      <c r="AU35" s="39">
        <f t="shared" si="18"/>
        <v>254.283</v>
      </c>
      <c r="AV35" s="39">
        <f t="shared" si="18"/>
        <v>-254.103</v>
      </c>
      <c r="AW35" s="39">
        <f t="shared" si="18"/>
        <v>666.4739999999999</v>
      </c>
      <c r="AX35" s="39">
        <f t="shared" si="18"/>
        <v>-38.45100000000002</v>
      </c>
      <c r="AY35" s="39">
        <f t="shared" si="18"/>
        <v>1161.878</v>
      </c>
      <c r="AZ35" s="39">
        <f t="shared" si="18"/>
        <v>-103.16499999999999</v>
      </c>
      <c r="BA35" s="39">
        <f t="shared" si="18"/>
        <v>245.622</v>
      </c>
      <c r="BB35" s="39">
        <f t="shared" si="18"/>
        <v>36.762</v>
      </c>
      <c r="BC35" s="39">
        <f t="shared" si="18"/>
        <v>-83.547</v>
      </c>
      <c r="BD35" s="39">
        <f t="shared" si="18"/>
        <v>76.16499999999999</v>
      </c>
      <c r="BE35" s="39">
        <f t="shared" si="18"/>
        <v>-204.81300000000002</v>
      </c>
      <c r="BF35" s="39">
        <f t="shared" si="18"/>
        <v>-28.687999999999988</v>
      </c>
      <c r="BG35" s="39">
        <f t="shared" si="18"/>
        <v>-220.61</v>
      </c>
      <c r="BH35" s="39">
        <f t="shared" si="18"/>
        <v>111.853</v>
      </c>
      <c r="BI35" s="39">
        <f t="shared" si="18"/>
        <v>-84.82900000000001</v>
      </c>
      <c r="BJ35" s="39">
        <f t="shared" si="18"/>
        <v>543.985</v>
      </c>
      <c r="BK35" s="39">
        <f t="shared" si="18"/>
        <v>-309</v>
      </c>
      <c r="BL35" s="39">
        <f aca="true" t="shared" si="19" ref="BL35:CT35">SUM(BL36,BL39)</f>
        <v>-430</v>
      </c>
      <c r="BM35" s="39">
        <f t="shared" si="19"/>
        <v>-73</v>
      </c>
      <c r="BN35" s="39">
        <f t="shared" si="19"/>
        <v>-383</v>
      </c>
      <c r="BO35" s="39">
        <f t="shared" si="19"/>
        <v>58</v>
      </c>
      <c r="BP35" s="39">
        <f t="shared" si="19"/>
        <v>-620</v>
      </c>
      <c r="BQ35" s="39">
        <f t="shared" si="19"/>
        <v>1596</v>
      </c>
      <c r="BR35" s="39">
        <f t="shared" si="19"/>
        <v>-540</v>
      </c>
      <c r="BS35" s="39">
        <f t="shared" si="19"/>
        <v>-559</v>
      </c>
      <c r="BT35" s="39">
        <f t="shared" si="19"/>
        <v>-1650</v>
      </c>
      <c r="BU35" s="39">
        <f t="shared" si="19"/>
        <v>-193</v>
      </c>
      <c r="BV35" s="39">
        <f t="shared" si="19"/>
        <v>-434</v>
      </c>
      <c r="BW35" s="39">
        <f t="shared" si="19"/>
        <v>-572</v>
      </c>
      <c r="BX35" s="39">
        <f t="shared" si="19"/>
        <v>273</v>
      </c>
      <c r="BY35" s="39">
        <f t="shared" si="19"/>
        <v>-157</v>
      </c>
      <c r="BZ35" s="39">
        <f t="shared" si="19"/>
        <v>392</v>
      </c>
      <c r="CA35" s="39">
        <f t="shared" si="19"/>
        <v>352</v>
      </c>
      <c r="CB35" s="39">
        <f t="shared" si="19"/>
        <v>-63</v>
      </c>
      <c r="CC35" s="39">
        <f t="shared" si="19"/>
        <v>-214</v>
      </c>
      <c r="CD35" s="39">
        <f t="shared" si="19"/>
        <v>-366</v>
      </c>
      <c r="CE35" s="39">
        <f t="shared" si="19"/>
        <v>376</v>
      </c>
      <c r="CF35" s="39">
        <f t="shared" si="19"/>
        <v>-66</v>
      </c>
      <c r="CG35" s="39">
        <f t="shared" si="19"/>
        <v>371.74</v>
      </c>
      <c r="CH35" s="39">
        <f t="shared" si="19"/>
        <v>-117.375</v>
      </c>
      <c r="CI35" s="39">
        <f t="shared" si="19"/>
        <v>233.9699999999998</v>
      </c>
      <c r="CJ35" s="39">
        <f t="shared" si="19"/>
        <v>111.94499999999994</v>
      </c>
      <c r="CK35" s="39">
        <f t="shared" si="19"/>
        <v>-77.13</v>
      </c>
      <c r="CL35" s="39">
        <f t="shared" si="19"/>
        <v>205.95499999999993</v>
      </c>
      <c r="CM35" s="39">
        <f t="shared" si="19"/>
        <v>711.6500000000001</v>
      </c>
      <c r="CN35" s="39">
        <f t="shared" si="19"/>
        <v>714.41</v>
      </c>
      <c r="CO35" s="39">
        <f t="shared" si="19"/>
        <v>1123.4</v>
      </c>
      <c r="CP35" s="39">
        <f t="shared" si="19"/>
        <v>751.3199999999999</v>
      </c>
      <c r="CQ35" s="39">
        <f t="shared" si="19"/>
        <v>-322.34180200000003</v>
      </c>
      <c r="CR35" s="39">
        <f t="shared" si="19"/>
        <v>-1993.58</v>
      </c>
      <c r="CS35" s="39">
        <f t="shared" si="19"/>
        <v>1014.78</v>
      </c>
      <c r="CT35" s="39">
        <f t="shared" si="19"/>
        <v>126</v>
      </c>
      <c r="CU35" s="39">
        <f>SUM(CU36,CU39)</f>
        <v>0</v>
      </c>
      <c r="CV35" s="39">
        <f>SUM(CV36,CV39)</f>
        <v>0</v>
      </c>
      <c r="CW35" s="39">
        <f>SUM(CW36,CW39)</f>
        <v>0</v>
      </c>
      <c r="CX35" s="39">
        <f>SUM(CX36,CX39)</f>
        <v>0</v>
      </c>
      <c r="CY35" s="39">
        <f>SUM(CY36,CY39)</f>
        <v>-14020.702</v>
      </c>
    </row>
    <row r="36" spans="1:103" ht="12.75">
      <c r="A36" s="1" t="s">
        <v>23</v>
      </c>
      <c r="B36" s="3" t="s">
        <v>19</v>
      </c>
      <c r="C36" s="13">
        <f>D36</f>
        <v>0</v>
      </c>
      <c r="D36" s="13">
        <f>SUM(D37,D38)</f>
        <v>0</v>
      </c>
      <c r="E36" s="13">
        <f aca="true" t="shared" si="20" ref="E36:BL36">SUM(E37,E38)</f>
        <v>0</v>
      </c>
      <c r="F36" s="13">
        <f t="shared" si="20"/>
        <v>0</v>
      </c>
      <c r="G36" s="13">
        <f t="shared" si="20"/>
        <v>0</v>
      </c>
      <c r="H36" s="13">
        <f t="shared" si="20"/>
        <v>0</v>
      </c>
      <c r="I36" s="13">
        <f t="shared" si="20"/>
        <v>0</v>
      </c>
      <c r="J36" s="13">
        <f t="shared" si="20"/>
        <v>0</v>
      </c>
      <c r="K36" s="13">
        <f t="shared" si="20"/>
        <v>0</v>
      </c>
      <c r="L36" s="13">
        <f t="shared" si="20"/>
        <v>0</v>
      </c>
      <c r="M36" s="13">
        <f t="shared" si="20"/>
        <v>0</v>
      </c>
      <c r="N36" s="13">
        <f t="shared" si="20"/>
        <v>0</v>
      </c>
      <c r="O36" s="13">
        <f t="shared" si="20"/>
        <v>0</v>
      </c>
      <c r="P36" s="13">
        <f t="shared" si="20"/>
        <v>0</v>
      </c>
      <c r="Q36" s="13">
        <f t="shared" si="20"/>
        <v>0</v>
      </c>
      <c r="R36" s="13">
        <f t="shared" si="20"/>
        <v>0</v>
      </c>
      <c r="S36" s="13">
        <f t="shared" si="20"/>
        <v>0</v>
      </c>
      <c r="T36" s="13"/>
      <c r="U36" s="13"/>
      <c r="V36" s="13">
        <f t="shared" si="20"/>
        <v>0</v>
      </c>
      <c r="W36" s="13">
        <f t="shared" si="20"/>
        <v>0</v>
      </c>
      <c r="X36" s="13">
        <f t="shared" si="20"/>
        <v>0</v>
      </c>
      <c r="Y36" s="13">
        <f t="shared" si="20"/>
        <v>0</v>
      </c>
      <c r="Z36" s="13">
        <f t="shared" si="20"/>
        <v>0</v>
      </c>
      <c r="AA36" s="13">
        <f t="shared" si="20"/>
        <v>0</v>
      </c>
      <c r="AB36" s="13">
        <f t="shared" si="20"/>
        <v>0</v>
      </c>
      <c r="AC36" s="13">
        <f t="shared" si="20"/>
        <v>0</v>
      </c>
      <c r="AD36" s="13">
        <f t="shared" si="20"/>
        <v>0</v>
      </c>
      <c r="AE36" s="13">
        <f t="shared" si="20"/>
        <v>0</v>
      </c>
      <c r="AF36" s="13">
        <f t="shared" si="20"/>
        <v>0</v>
      </c>
      <c r="AG36" s="13">
        <f t="shared" si="20"/>
        <v>0</v>
      </c>
      <c r="AH36" s="13">
        <f t="shared" si="20"/>
        <v>0</v>
      </c>
      <c r="AI36" s="13">
        <f t="shared" si="20"/>
        <v>0</v>
      </c>
      <c r="AJ36" s="13">
        <f t="shared" si="20"/>
        <v>0</v>
      </c>
      <c r="AK36" s="13">
        <f t="shared" si="20"/>
        <v>0</v>
      </c>
      <c r="AL36" s="13">
        <f t="shared" si="20"/>
        <v>0</v>
      </c>
      <c r="AM36" s="13">
        <f t="shared" si="20"/>
        <v>0</v>
      </c>
      <c r="AN36" s="13">
        <f t="shared" si="20"/>
        <v>0</v>
      </c>
      <c r="AO36" s="13">
        <f t="shared" si="20"/>
        <v>0</v>
      </c>
      <c r="AP36" s="13">
        <f t="shared" si="20"/>
        <v>0</v>
      </c>
      <c r="AQ36" s="13">
        <f t="shared" si="20"/>
        <v>0</v>
      </c>
      <c r="AR36" s="13">
        <f t="shared" si="20"/>
        <v>0</v>
      </c>
      <c r="AS36" s="13">
        <f t="shared" si="20"/>
        <v>0</v>
      </c>
      <c r="AT36" s="13">
        <f t="shared" si="20"/>
        <v>0</v>
      </c>
      <c r="AU36" s="13">
        <f t="shared" si="20"/>
        <v>0</v>
      </c>
      <c r="AV36" s="13">
        <f t="shared" si="20"/>
        <v>0</v>
      </c>
      <c r="AW36" s="13">
        <f t="shared" si="20"/>
        <v>0</v>
      </c>
      <c r="AX36" s="13">
        <f t="shared" si="20"/>
        <v>0</v>
      </c>
      <c r="AY36" s="13">
        <f t="shared" si="20"/>
        <v>0</v>
      </c>
      <c r="AZ36" s="13">
        <f t="shared" si="20"/>
        <v>0</v>
      </c>
      <c r="BA36" s="13">
        <f t="shared" si="20"/>
        <v>0</v>
      </c>
      <c r="BB36" s="13">
        <f t="shared" si="20"/>
        <v>0</v>
      </c>
      <c r="BC36" s="13">
        <f t="shared" si="20"/>
        <v>0</v>
      </c>
      <c r="BD36" s="13">
        <f t="shared" si="20"/>
        <v>0</v>
      </c>
      <c r="BE36" s="13">
        <f t="shared" si="20"/>
        <v>0</v>
      </c>
      <c r="BF36" s="13">
        <f t="shared" si="20"/>
        <v>0</v>
      </c>
      <c r="BG36" s="13">
        <f t="shared" si="20"/>
        <v>0</v>
      </c>
      <c r="BH36" s="13">
        <f t="shared" si="20"/>
        <v>0</v>
      </c>
      <c r="BI36" s="13">
        <f t="shared" si="20"/>
        <v>0</v>
      </c>
      <c r="BJ36" s="13">
        <f t="shared" si="20"/>
        <v>0</v>
      </c>
      <c r="BK36" s="13">
        <f t="shared" si="20"/>
        <v>0</v>
      </c>
      <c r="BL36" s="13">
        <f t="shared" si="20"/>
        <v>0</v>
      </c>
      <c r="BM36" s="13">
        <f aca="true" t="shared" si="21" ref="BM36:CT36">SUM(BM37,BM38)</f>
        <v>0</v>
      </c>
      <c r="BN36" s="13">
        <f t="shared" si="21"/>
        <v>0</v>
      </c>
      <c r="BO36" s="13">
        <f t="shared" si="21"/>
        <v>0</v>
      </c>
      <c r="BP36" s="13">
        <f t="shared" si="21"/>
        <v>0</v>
      </c>
      <c r="BQ36" s="13">
        <f t="shared" si="21"/>
        <v>0</v>
      </c>
      <c r="BR36" s="13">
        <f t="shared" si="21"/>
        <v>0</v>
      </c>
      <c r="BS36" s="13">
        <f t="shared" si="21"/>
        <v>0</v>
      </c>
      <c r="BT36" s="13">
        <f t="shared" si="21"/>
        <v>0</v>
      </c>
      <c r="BU36" s="13">
        <f t="shared" si="21"/>
        <v>0</v>
      </c>
      <c r="BV36" s="13">
        <f t="shared" si="21"/>
        <v>0</v>
      </c>
      <c r="BW36" s="13">
        <f t="shared" si="21"/>
        <v>0</v>
      </c>
      <c r="BX36" s="13">
        <f t="shared" si="21"/>
        <v>0</v>
      </c>
      <c r="BY36" s="13">
        <f t="shared" si="21"/>
        <v>0</v>
      </c>
      <c r="BZ36" s="13">
        <f t="shared" si="21"/>
        <v>0</v>
      </c>
      <c r="CA36" s="13">
        <f t="shared" si="21"/>
        <v>0</v>
      </c>
      <c r="CB36" s="13">
        <f t="shared" si="21"/>
        <v>0</v>
      </c>
      <c r="CC36" s="13">
        <f t="shared" si="21"/>
        <v>0</v>
      </c>
      <c r="CD36" s="13">
        <f t="shared" si="21"/>
        <v>0</v>
      </c>
      <c r="CE36" s="13">
        <f t="shared" si="21"/>
        <v>0</v>
      </c>
      <c r="CF36" s="13">
        <f t="shared" si="21"/>
        <v>0</v>
      </c>
      <c r="CG36" s="13">
        <f t="shared" si="21"/>
        <v>0</v>
      </c>
      <c r="CH36" s="13">
        <f t="shared" si="21"/>
        <v>0</v>
      </c>
      <c r="CI36" s="13">
        <f t="shared" si="21"/>
        <v>0</v>
      </c>
      <c r="CJ36" s="13">
        <f t="shared" si="21"/>
        <v>0</v>
      </c>
      <c r="CK36" s="13">
        <f t="shared" si="21"/>
        <v>0</v>
      </c>
      <c r="CL36" s="13">
        <f t="shared" si="21"/>
        <v>0</v>
      </c>
      <c r="CM36" s="13">
        <f t="shared" si="21"/>
        <v>0</v>
      </c>
      <c r="CN36" s="13">
        <f t="shared" si="21"/>
        <v>0</v>
      </c>
      <c r="CO36" s="13">
        <f t="shared" si="21"/>
        <v>0</v>
      </c>
      <c r="CP36" s="13">
        <f t="shared" si="21"/>
        <v>0</v>
      </c>
      <c r="CQ36" s="13">
        <f t="shared" si="21"/>
        <v>0</v>
      </c>
      <c r="CR36" s="13">
        <f t="shared" si="21"/>
        <v>0</v>
      </c>
      <c r="CS36" s="13">
        <f t="shared" si="21"/>
        <v>0</v>
      </c>
      <c r="CT36" s="13">
        <f t="shared" si="21"/>
        <v>0</v>
      </c>
      <c r="CU36" s="13">
        <f>SUM(CU37,CU38)</f>
        <v>0</v>
      </c>
      <c r="CV36" s="13">
        <f>SUM(CV37,CV38)</f>
        <v>0</v>
      </c>
      <c r="CW36" s="13">
        <f>SUM(CW37,CW38)</f>
        <v>0</v>
      </c>
      <c r="CX36" s="13">
        <f>SUM(CX37,CX38)</f>
        <v>0</v>
      </c>
      <c r="CY36" s="13">
        <f>SUM(CY37,CY38)</f>
        <v>0</v>
      </c>
    </row>
    <row r="37" spans="1:103" ht="12.75">
      <c r="A37" s="1"/>
      <c r="B37" s="34" t="str">
        <f>B28</f>
        <v> - Kinh phí thường xuyên</v>
      </c>
      <c r="C37" s="9">
        <f>SUM(D37:CT37)</f>
        <v>0</v>
      </c>
      <c r="D37" s="9">
        <f>SUM(E37:CT37)</f>
        <v>0</v>
      </c>
      <c r="E37" s="9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9">
        <f>ROUND('[1]Phân bổ 2022'!T48,0)</f>
        <v>0</v>
      </c>
      <c r="T37" s="9"/>
      <c r="U37" s="9"/>
      <c r="V37" s="31"/>
      <c r="W37" s="31"/>
      <c r="X37" s="31"/>
      <c r="Y37" s="31"/>
      <c r="Z37" s="31"/>
      <c r="AA37" s="31"/>
      <c r="AB37" s="31"/>
      <c r="AC37" s="31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19"/>
    </row>
    <row r="38" spans="1:103" ht="12.75" hidden="1">
      <c r="A38" s="1"/>
      <c r="B38" s="34" t="str">
        <f>B32</f>
        <v> - Kinh phí tiết kiệm 10% để thực hiện cải cách tiền lương</v>
      </c>
      <c r="C38" s="9">
        <f>SUM(D38:CT38)</f>
        <v>0</v>
      </c>
      <c r="D38" s="9">
        <f>SUM(E38:CT38)</f>
        <v>0</v>
      </c>
      <c r="E38" s="9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9">
        <f>ROUND('[1]Phân bổ 2022'!T49,0)</f>
        <v>0</v>
      </c>
      <c r="T38" s="9"/>
      <c r="U38" s="9"/>
      <c r="V38" s="31"/>
      <c r="W38" s="31"/>
      <c r="X38" s="31"/>
      <c r="Y38" s="31"/>
      <c r="Z38" s="31"/>
      <c r="AA38" s="31"/>
      <c r="AB38" s="31"/>
      <c r="AC38" s="31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19"/>
    </row>
    <row r="39" spans="1:103" ht="12.75">
      <c r="A39" s="1" t="s">
        <v>24</v>
      </c>
      <c r="B39" s="3" t="s">
        <v>20</v>
      </c>
      <c r="C39" s="13">
        <f>D39</f>
        <v>-12055.640000000003</v>
      </c>
      <c r="D39" s="13">
        <f>SUM(D40:D44)</f>
        <v>-12055.640000000003</v>
      </c>
      <c r="E39" s="13">
        <f aca="true" t="shared" si="22" ref="E39:AR39">SUM(E40:E44)</f>
        <v>0</v>
      </c>
      <c r="F39" s="13">
        <f t="shared" si="22"/>
        <v>0</v>
      </c>
      <c r="G39" s="13">
        <f t="shared" si="22"/>
        <v>0</v>
      </c>
      <c r="H39" s="13">
        <f t="shared" si="22"/>
        <v>0</v>
      </c>
      <c r="I39" s="13">
        <f t="shared" si="22"/>
        <v>0</v>
      </c>
      <c r="J39" s="13">
        <f t="shared" si="22"/>
        <v>0</v>
      </c>
      <c r="K39" s="13">
        <f t="shared" si="22"/>
        <v>0</v>
      </c>
      <c r="L39" s="13">
        <f t="shared" si="22"/>
        <v>0</v>
      </c>
      <c r="M39" s="13">
        <f t="shared" si="22"/>
        <v>0</v>
      </c>
      <c r="N39" s="13">
        <f t="shared" si="22"/>
        <v>0</v>
      </c>
      <c r="O39" s="13">
        <f t="shared" si="22"/>
        <v>936.36</v>
      </c>
      <c r="P39" s="13">
        <f t="shared" si="22"/>
        <v>0</v>
      </c>
      <c r="Q39" s="13">
        <f t="shared" si="22"/>
        <v>0</v>
      </c>
      <c r="R39" s="13">
        <f t="shared" si="22"/>
        <v>0</v>
      </c>
      <c r="S39" s="13">
        <f t="shared" si="22"/>
        <v>0</v>
      </c>
      <c r="T39" s="13"/>
      <c r="U39" s="13"/>
      <c r="V39" s="13">
        <f t="shared" si="22"/>
        <v>0</v>
      </c>
      <c r="W39" s="13">
        <f t="shared" si="22"/>
        <v>0</v>
      </c>
      <c r="X39" s="13">
        <f t="shared" si="22"/>
        <v>0</v>
      </c>
      <c r="Y39" s="13">
        <f t="shared" si="22"/>
        <v>0</v>
      </c>
      <c r="Z39" s="13">
        <f t="shared" si="22"/>
        <v>0</v>
      </c>
      <c r="AA39" s="13">
        <f t="shared" si="22"/>
        <v>0</v>
      </c>
      <c r="AB39" s="13">
        <f t="shared" si="22"/>
        <v>0</v>
      </c>
      <c r="AC39" s="13">
        <f t="shared" si="22"/>
        <v>0</v>
      </c>
      <c r="AD39" s="13">
        <f t="shared" si="22"/>
        <v>0</v>
      </c>
      <c r="AE39" s="13">
        <f t="shared" si="22"/>
        <v>0</v>
      </c>
      <c r="AF39" s="13">
        <f t="shared" si="22"/>
        <v>0</v>
      </c>
      <c r="AG39" s="13">
        <f t="shared" si="22"/>
        <v>0</v>
      </c>
      <c r="AH39" s="13">
        <f t="shared" si="22"/>
        <v>0</v>
      </c>
      <c r="AI39" s="13">
        <f t="shared" si="22"/>
        <v>0</v>
      </c>
      <c r="AJ39" s="13">
        <f t="shared" si="22"/>
        <v>0</v>
      </c>
      <c r="AK39" s="13">
        <f t="shared" si="22"/>
        <v>0</v>
      </c>
      <c r="AL39" s="13">
        <f t="shared" si="22"/>
        <v>0</v>
      </c>
      <c r="AM39" s="13">
        <f t="shared" si="22"/>
        <v>0</v>
      </c>
      <c r="AN39" s="13">
        <f t="shared" si="22"/>
        <v>0</v>
      </c>
      <c r="AO39" s="13">
        <f t="shared" si="22"/>
        <v>0</v>
      </c>
      <c r="AP39" s="13">
        <f t="shared" si="22"/>
        <v>0</v>
      </c>
      <c r="AQ39" s="13">
        <f t="shared" si="22"/>
        <v>0</v>
      </c>
      <c r="AR39" s="13">
        <f t="shared" si="22"/>
        <v>0</v>
      </c>
      <c r="AS39" s="22">
        <f>SUM(AS40:AS44)</f>
        <v>-104.71075800000028</v>
      </c>
      <c r="AT39" s="22">
        <f>SUM(AT40:AT44)</f>
        <v>-218.14644000000007</v>
      </c>
      <c r="AU39" s="22">
        <f>SUM(AU40:AU44)</f>
        <v>254.283</v>
      </c>
      <c r="AV39" s="22">
        <f>SUM(AV40:AV44)</f>
        <v>-254.103</v>
      </c>
      <c r="AW39" s="22">
        <f>SUM(AW40:AW44)</f>
        <v>666.4739999999999</v>
      </c>
      <c r="AX39" s="22">
        <f>SUM(AX40:AX44)</f>
        <v>-38.45100000000002</v>
      </c>
      <c r="AY39" s="22">
        <f>SUM(AY40:AY44)</f>
        <v>1161.878</v>
      </c>
      <c r="AZ39" s="22">
        <f>SUM(AZ40:AZ44)</f>
        <v>-103.16499999999999</v>
      </c>
      <c r="BA39" s="22">
        <f>SUM(BA40:BA44)</f>
        <v>245.622</v>
      </c>
      <c r="BB39" s="22">
        <f>SUM(BB40:BB44)</f>
        <v>36.762</v>
      </c>
      <c r="BC39" s="22">
        <f>SUM(BC40:BC44)</f>
        <v>-83.547</v>
      </c>
      <c r="BD39" s="22">
        <f>SUM(BD40:BD44)</f>
        <v>76.16499999999999</v>
      </c>
      <c r="BE39" s="22">
        <f>SUM(BE40:BE44)</f>
        <v>-204.81300000000002</v>
      </c>
      <c r="BF39" s="22">
        <f>SUM(BF40:BF44)</f>
        <v>-28.687999999999988</v>
      </c>
      <c r="BG39" s="22">
        <f>SUM(BG40:BG44)</f>
        <v>-220.61</v>
      </c>
      <c r="BH39" s="22">
        <f>SUM(BH40:BH44)</f>
        <v>111.853</v>
      </c>
      <c r="BI39" s="22">
        <f>SUM(BI40:BI44)</f>
        <v>-84.82900000000001</v>
      </c>
      <c r="BJ39" s="22">
        <f>SUM(BJ40:BJ44)</f>
        <v>543.985</v>
      </c>
      <c r="BK39" s="22">
        <f>SUM(BK40:BK44)</f>
        <v>-309</v>
      </c>
      <c r="BL39" s="22">
        <f>SUM(BL40:BL44)</f>
        <v>-430</v>
      </c>
      <c r="BM39" s="22">
        <f>SUM(BM40:BM44)</f>
        <v>-73</v>
      </c>
      <c r="BN39" s="22">
        <f>SUM(BN40:BN44)</f>
        <v>-383</v>
      </c>
      <c r="BO39" s="22">
        <f>SUM(BO40:BO44)</f>
        <v>58</v>
      </c>
      <c r="BP39" s="22">
        <f>SUM(BP40:BP44)</f>
        <v>-620</v>
      </c>
      <c r="BQ39" s="22">
        <f>SUM(BQ40:BQ44)</f>
        <v>1596</v>
      </c>
      <c r="BR39" s="22">
        <f>SUM(BR40:BR44)</f>
        <v>-540</v>
      </c>
      <c r="BS39" s="22">
        <f>SUM(BS40:BS44)</f>
        <v>-559</v>
      </c>
      <c r="BT39" s="22">
        <f>SUM(BT40:BT44)</f>
        <v>-1650</v>
      </c>
      <c r="BU39" s="22">
        <f>SUM(BU40:BU44)</f>
        <v>-193</v>
      </c>
      <c r="BV39" s="22">
        <f>SUM(BV40:BV44)</f>
        <v>-434</v>
      </c>
      <c r="BW39" s="22">
        <f>SUM(BW40:BW44)</f>
        <v>-572</v>
      </c>
      <c r="BX39" s="22">
        <f>SUM(BX40:BX44)</f>
        <v>273</v>
      </c>
      <c r="BY39" s="22">
        <f>SUM(BY40:BY44)</f>
        <v>-157</v>
      </c>
      <c r="BZ39" s="22">
        <f>SUM(BZ40:BZ44)</f>
        <v>392</v>
      </c>
      <c r="CA39" s="22">
        <f>SUM(CA40:CA44)</f>
        <v>352</v>
      </c>
      <c r="CB39" s="22">
        <f>SUM(CB40:CB44)</f>
        <v>-63</v>
      </c>
      <c r="CC39" s="22">
        <f>SUM(CC40:CC44)</f>
        <v>-214</v>
      </c>
      <c r="CD39" s="22">
        <f>SUM(CD40:CD44)</f>
        <v>-366</v>
      </c>
      <c r="CE39" s="22">
        <f>SUM(CE40:CE44)</f>
        <v>376</v>
      </c>
      <c r="CF39" s="22">
        <f>SUM(CF40:CF44)</f>
        <v>-66</v>
      </c>
      <c r="CG39" s="22">
        <f>SUM(CG40:CG44)</f>
        <v>371.74</v>
      </c>
      <c r="CH39" s="22">
        <f>SUM(CH40:CH44)</f>
        <v>-117.375</v>
      </c>
      <c r="CI39" s="22">
        <f>SUM(CI40:CI44)</f>
        <v>233.9699999999998</v>
      </c>
      <c r="CJ39" s="22">
        <f>SUM(CJ40:CJ44)</f>
        <v>111.94499999999994</v>
      </c>
      <c r="CK39" s="22">
        <f>SUM(CK40:CK44)</f>
        <v>-77.13</v>
      </c>
      <c r="CL39" s="22">
        <f>SUM(CL40:CL44)</f>
        <v>205.95499999999993</v>
      </c>
      <c r="CM39" s="22">
        <f>SUM(CM40:CM44)</f>
        <v>711.6500000000001</v>
      </c>
      <c r="CN39" s="22">
        <f>SUM(CN40:CN44)</f>
        <v>714.41</v>
      </c>
      <c r="CO39" s="22">
        <f>SUM(CO40:CO44)</f>
        <v>1123.4</v>
      </c>
      <c r="CP39" s="22">
        <f>SUM(CP40:CP44)</f>
        <v>751.3199999999999</v>
      </c>
      <c r="CQ39" s="22">
        <f>SUM(CQ40:CQ44)</f>
        <v>-322.34180200000003</v>
      </c>
      <c r="CR39" s="22">
        <f>SUM(CR40:CR44)</f>
        <v>-1993.58</v>
      </c>
      <c r="CS39" s="41">
        <f>SUM(CS40:CS44)</f>
        <v>1014.78</v>
      </c>
      <c r="CT39" s="41">
        <f>SUM(CT40:CT44)</f>
        <v>126</v>
      </c>
      <c r="CU39" s="41">
        <f>SUM(CU40:CU44)</f>
        <v>0</v>
      </c>
      <c r="CV39" s="41">
        <f>SUM(CV40:CV44)</f>
        <v>0</v>
      </c>
      <c r="CW39" s="41">
        <f>SUM(CW40:CW44)</f>
        <v>0</v>
      </c>
      <c r="CX39" s="41">
        <f>SUM(CX40:CX44)</f>
        <v>0</v>
      </c>
      <c r="CY39" s="41">
        <f>SUM(CY40:CY44)</f>
        <v>-14020.702</v>
      </c>
    </row>
    <row r="40" spans="1:103" ht="12.75" hidden="1">
      <c r="A40" s="1"/>
      <c r="B40" s="34" t="str">
        <f>B31</f>
        <v> - Kinh phí không thường xuyên</v>
      </c>
      <c r="C40" s="9"/>
      <c r="D40" s="9"/>
      <c r="E40" s="9"/>
      <c r="F40" s="7"/>
      <c r="G40" s="7"/>
      <c r="H40" s="7"/>
      <c r="I40" s="7"/>
      <c r="J40" s="7"/>
      <c r="K40" s="9"/>
      <c r="L40" s="7"/>
      <c r="M40" s="7"/>
      <c r="N40" s="9"/>
      <c r="O40" s="9"/>
      <c r="P40" s="7"/>
      <c r="Q40" s="7"/>
      <c r="R40" s="7"/>
      <c r="S40" s="9"/>
      <c r="T40" s="9"/>
      <c r="U40" s="9"/>
      <c r="V40" s="31"/>
      <c r="W40" s="31"/>
      <c r="X40" s="31"/>
      <c r="Y40" s="31"/>
      <c r="Z40" s="31"/>
      <c r="AA40" s="31"/>
      <c r="AB40" s="31"/>
      <c r="AC40" s="7"/>
      <c r="AD40" s="7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2"/>
      <c r="CT40" s="42"/>
      <c r="CU40" s="42"/>
      <c r="CV40" s="42"/>
      <c r="CW40" s="42"/>
      <c r="CX40" s="42"/>
      <c r="CY40" s="19"/>
    </row>
    <row r="41" spans="1:103" ht="12.75">
      <c r="A41" s="1" t="s">
        <v>248</v>
      </c>
      <c r="B41" s="34" t="s">
        <v>3</v>
      </c>
      <c r="C41" s="9">
        <f>D41</f>
        <v>12596.359999999997</v>
      </c>
      <c r="D41" s="9">
        <f>SUM(E41:CT41)</f>
        <v>12596.359999999997</v>
      </c>
      <c r="E41" s="9"/>
      <c r="F41" s="7"/>
      <c r="G41" s="7"/>
      <c r="H41" s="7"/>
      <c r="I41" s="7"/>
      <c r="J41" s="7"/>
      <c r="K41" s="9"/>
      <c r="L41" s="9"/>
      <c r="M41" s="9"/>
      <c r="N41" s="9"/>
      <c r="O41" s="9">
        <v>936.36</v>
      </c>
      <c r="P41" s="9"/>
      <c r="Q41" s="9"/>
      <c r="R41" s="9"/>
      <c r="S41" s="9"/>
      <c r="T41" s="9"/>
      <c r="U41" s="9"/>
      <c r="V41" s="31"/>
      <c r="W41" s="31"/>
      <c r="X41" s="31"/>
      <c r="Y41" s="31"/>
      <c r="Z41" s="31"/>
      <c r="AA41" s="31"/>
      <c r="AB41" s="31"/>
      <c r="AC41" s="7"/>
      <c r="AD41" s="7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40">
        <f>233.88</f>
        <v>233.88</v>
      </c>
      <c r="AT41" s="40">
        <f>164.4</f>
        <v>164.4</v>
      </c>
      <c r="AU41" s="40">
        <f>129.48</f>
        <v>129.48</v>
      </c>
      <c r="AV41" s="40">
        <f>187.68</f>
        <v>187.68</v>
      </c>
      <c r="AW41" s="40">
        <f>240.32</f>
        <v>240.32</v>
      </c>
      <c r="AX41" s="40">
        <v>296.4</v>
      </c>
      <c r="AY41" s="40">
        <f>298.16</f>
        <v>298.16</v>
      </c>
      <c r="AZ41" s="40">
        <v>185.04</v>
      </c>
      <c r="BA41" s="40">
        <v>113.76</v>
      </c>
      <c r="BB41" s="40">
        <v>127.24</v>
      </c>
      <c r="BC41" s="40">
        <v>90.12</v>
      </c>
      <c r="BD41" s="40">
        <v>113.72</v>
      </c>
      <c r="BE41" s="40">
        <v>55.48</v>
      </c>
      <c r="BF41" s="40">
        <v>130.08</v>
      </c>
      <c r="BG41" s="40">
        <v>87.24</v>
      </c>
      <c r="BH41" s="40">
        <v>113.36</v>
      </c>
      <c r="BI41" s="40">
        <v>141.72</v>
      </c>
      <c r="BJ41" s="40">
        <v>200.64</v>
      </c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>
        <f>386.4+311.34</f>
        <v>697.74</v>
      </c>
      <c r="CH41" s="40">
        <f>259.68+208.945</f>
        <v>468.625</v>
      </c>
      <c r="CI41" s="40">
        <f>781.41+615.06</f>
        <v>1396.4699999999998</v>
      </c>
      <c r="CJ41" s="40">
        <f>371.37+295.575</f>
        <v>666.9449999999999</v>
      </c>
      <c r="CK41" s="40">
        <f>250.74+200.13</f>
        <v>450.87</v>
      </c>
      <c r="CL41" s="40">
        <f>623.49+504.465</f>
        <v>1127.955</v>
      </c>
      <c r="CM41" s="40">
        <f>469.47+390.18</f>
        <v>859.6500000000001</v>
      </c>
      <c r="CN41" s="40">
        <f>230.13+185.28</f>
        <v>415.40999999999997</v>
      </c>
      <c r="CO41" s="40">
        <f>343.38+271.02</f>
        <v>614.4</v>
      </c>
      <c r="CP41" s="40">
        <f>409.77+326.55</f>
        <v>736.3199999999999</v>
      </c>
      <c r="CQ41" s="40">
        <f>333.3+262.395</f>
        <v>595.6949999999999</v>
      </c>
      <c r="CR41" s="40">
        <f>205.14+167.28</f>
        <v>372.41999999999996</v>
      </c>
      <c r="CS41" s="40">
        <f>186+162.78</f>
        <v>348.78</v>
      </c>
      <c r="CT41" s="40"/>
      <c r="CU41" s="40"/>
      <c r="CV41" s="40"/>
      <c r="CW41" s="40"/>
      <c r="CX41" s="40"/>
      <c r="CY41" s="19"/>
    </row>
    <row r="42" spans="1:103" ht="25.5" hidden="1">
      <c r="A42" s="1"/>
      <c r="B42" s="96" t="s">
        <v>2</v>
      </c>
      <c r="C42" s="9">
        <f>D42</f>
        <v>0</v>
      </c>
      <c r="D42" s="9">
        <f>SUM(E42:CT42)</f>
        <v>0</v>
      </c>
      <c r="E42" s="9"/>
      <c r="F42" s="7"/>
      <c r="G42" s="7"/>
      <c r="H42" s="7"/>
      <c r="I42" s="7"/>
      <c r="J42" s="7"/>
      <c r="K42" s="9"/>
      <c r="L42" s="7"/>
      <c r="M42" s="7"/>
      <c r="N42" s="9"/>
      <c r="O42" s="9"/>
      <c r="P42" s="7"/>
      <c r="Q42" s="7"/>
      <c r="R42" s="7"/>
      <c r="S42" s="9"/>
      <c r="T42" s="9"/>
      <c r="U42" s="9"/>
      <c r="V42" s="31"/>
      <c r="W42" s="31"/>
      <c r="X42" s="31"/>
      <c r="Y42" s="31"/>
      <c r="Z42" s="31"/>
      <c r="AA42" s="31"/>
      <c r="AB42" s="31"/>
      <c r="AC42" s="7"/>
      <c r="AD42" s="7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19"/>
    </row>
    <row r="43" spans="1:103" s="45" customFormat="1" ht="25.5">
      <c r="A43" s="43"/>
      <c r="B43" s="51" t="s">
        <v>45</v>
      </c>
      <c r="C43" s="7">
        <f>D43</f>
        <v>-24652</v>
      </c>
      <c r="D43" s="7">
        <f>SUM(E43:CY43)</f>
        <v>-24652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>
        <f>ROUND('[1]Phân bổ 2022'!T53,0)</f>
        <v>0</v>
      </c>
      <c r="T43" s="7"/>
      <c r="U43" s="7"/>
      <c r="V43" s="7"/>
      <c r="W43" s="7"/>
      <c r="X43" s="7"/>
      <c r="Y43" s="7"/>
      <c r="Z43" s="7"/>
      <c r="AA43" s="7"/>
      <c r="AB43" s="37"/>
      <c r="AC43" s="37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>
        <f>-'[4]PL3'!$L$55/1000000</f>
        <v>-338.5907580000003</v>
      </c>
      <c r="AT43" s="44">
        <f>-'[4]PL3'!$L$56/1000000</f>
        <v>-382.5464400000001</v>
      </c>
      <c r="AU43" s="44">
        <f>'[4]PL3'!$C$50/1000000</f>
        <v>124.803</v>
      </c>
      <c r="AV43" s="44">
        <f>-'[4]PL3'!$L$57/1000000</f>
        <v>-441.783</v>
      </c>
      <c r="AW43" s="44">
        <f>'[4]PL3'!$C$51/1000000</f>
        <v>426.154</v>
      </c>
      <c r="AX43" s="44">
        <f>-'[4]PL3'!$L$58/1000000</f>
        <v>-334.851</v>
      </c>
      <c r="AY43" s="44">
        <f>'[4]PL3'!$C$52/1000000</f>
        <v>863.718</v>
      </c>
      <c r="AZ43" s="44">
        <f>-'[4]PL3'!$L$59/1000000</f>
        <v>-288.205</v>
      </c>
      <c r="BA43" s="44">
        <f>'[4]PL3'!$C$53/1000000</f>
        <v>131.862</v>
      </c>
      <c r="BB43" s="44">
        <f>-'[4]PL3'!$L$60/1000000</f>
        <v>-90.478</v>
      </c>
      <c r="BC43" s="44">
        <f>-'[4]PL3'!$L$61/1000000</f>
        <v>-173.667</v>
      </c>
      <c r="BD43" s="44">
        <f>-'[4]PL3'!$L$62/1000000</f>
        <v>-37.555</v>
      </c>
      <c r="BE43" s="44">
        <f>-'[4]PL3'!$L$63/1000000</f>
        <v>-260.293</v>
      </c>
      <c r="BF43" s="44">
        <f>-'[4]PL3'!$L$64/1000000</f>
        <v>-158.768</v>
      </c>
      <c r="BG43" s="44">
        <f>-'[4]PL3'!$L$65/1000000</f>
        <v>-307.85</v>
      </c>
      <c r="BH43" s="44">
        <f>-'[4]PL3'!$L$66/1000000</f>
        <v>-1.507</v>
      </c>
      <c r="BI43" s="44">
        <f>-'[4]PL3'!$L$67/1000000</f>
        <v>-226.549</v>
      </c>
      <c r="BJ43" s="44">
        <f>'[4]PL3'!$C$54/1000000</f>
        <v>343.345</v>
      </c>
      <c r="BK43" s="44">
        <f>-'[4]PL3'!$L$75/1000000</f>
        <v>-309</v>
      </c>
      <c r="BL43" s="44">
        <f>-'[4]PL3'!$L$76/1000000</f>
        <v>-430</v>
      </c>
      <c r="BM43" s="44">
        <f>-'[4]PL3'!$L$77/1000000</f>
        <v>-73</v>
      </c>
      <c r="BN43" s="44">
        <f>-'[4]PL3'!$L$78/1000000</f>
        <v>-383</v>
      </c>
      <c r="BO43" s="44">
        <f>'[4]PL3'!$C$69/1000000</f>
        <v>58</v>
      </c>
      <c r="BP43" s="44">
        <f>-'[4]PL3'!$L$79/1000000</f>
        <v>-620</v>
      </c>
      <c r="BQ43" s="44">
        <f>'[4]PL3'!$C$70/1000000</f>
        <v>1596</v>
      </c>
      <c r="BR43" s="44">
        <f>-'[4]PL3'!$L$80/1000000</f>
        <v>-540</v>
      </c>
      <c r="BS43" s="44">
        <f>-'[4]PL3'!$L$81/1000000</f>
        <v>-559</v>
      </c>
      <c r="BT43" s="44">
        <f>-'[4]PL3'!$L$82/1000000</f>
        <v>-1650</v>
      </c>
      <c r="BU43" s="44">
        <f>-'[4]PL3'!$L$83/1000000</f>
        <v>-193</v>
      </c>
      <c r="BV43" s="44">
        <f>-'[4]PL3'!$L$84/1000000</f>
        <v>-434</v>
      </c>
      <c r="BW43" s="44">
        <f>-'[4]PL3'!$L$85/1000000</f>
        <v>-572</v>
      </c>
      <c r="BX43" s="44">
        <f>'[4]PL3'!$C$71/1000000</f>
        <v>273</v>
      </c>
      <c r="BY43" s="44">
        <f>-'[4]PL3'!$L$86/1000000</f>
        <v>-157</v>
      </c>
      <c r="BZ43" s="44">
        <f>'[4]PL3'!$C$72/1000000</f>
        <v>392</v>
      </c>
      <c r="CA43" s="44">
        <f>'[4]PL3'!$C$73/1000000</f>
        <v>352</v>
      </c>
      <c r="CB43" s="44">
        <f>-'[4]PL3'!$L$87/1000000</f>
        <v>-63</v>
      </c>
      <c r="CC43" s="44">
        <f>-'[4]PL3'!$L$88/1000000</f>
        <v>-214</v>
      </c>
      <c r="CD43" s="44">
        <f>-'[4]PL3'!$L$89/1000000</f>
        <v>-366</v>
      </c>
      <c r="CE43" s="44">
        <f>'[4]PL3'!$C$74/1000000</f>
        <v>376</v>
      </c>
      <c r="CF43" s="44">
        <f>-'[4]PL3'!$L$90/1000000</f>
        <v>-66</v>
      </c>
      <c r="CG43" s="44">
        <f>-'[4]PL3'!$L$95/1000000</f>
        <v>-326</v>
      </c>
      <c r="CH43" s="44">
        <f>-'[4]PL3'!$L$96/1000000</f>
        <v>-586</v>
      </c>
      <c r="CI43" s="44">
        <f>-'[4]PL3'!$L$97/1000000</f>
        <v>-1162.5</v>
      </c>
      <c r="CJ43" s="44">
        <f>-'[4]PL3'!$L$98/1000000</f>
        <v>-555</v>
      </c>
      <c r="CK43" s="44">
        <f>-'[4]PL3'!$L$99/1000000</f>
        <v>-528</v>
      </c>
      <c r="CL43" s="44">
        <f>-'[4]PL3'!$L$101/1000000</f>
        <v>-922</v>
      </c>
      <c r="CM43" s="44">
        <f>-'[4]PL3'!$L$102/1000000</f>
        <v>-148</v>
      </c>
      <c r="CN43" s="44">
        <f>'[4]PL3'!$C$93/1000000</f>
        <v>299</v>
      </c>
      <c r="CO43" s="44">
        <f>'[4]PL3'!$C$92/1000000</f>
        <v>509</v>
      </c>
      <c r="CP43" s="44">
        <f>'[4]PL3'!$C$94/1000000</f>
        <v>15</v>
      </c>
      <c r="CQ43" s="44">
        <f>-'[4]PL3'!$L$100/1000000</f>
        <v>-918.036802</v>
      </c>
      <c r="CR43" s="44">
        <f>-'[4]PL3'!$L$103/1000000</f>
        <v>-2366</v>
      </c>
      <c r="CS43" s="44">
        <f>'[4]PL3'!$C$105/1000000</f>
        <v>666</v>
      </c>
      <c r="CT43" s="44">
        <f>'[4]PL3'!$C$104/1000000</f>
        <v>126</v>
      </c>
      <c r="CU43" s="44"/>
      <c r="CV43" s="44"/>
      <c r="CW43" s="44"/>
      <c r="CX43" s="44"/>
      <c r="CY43" s="94">
        <f>-14020.702</f>
        <v>-14020.702</v>
      </c>
    </row>
    <row r="44" spans="1:103" ht="12.75" hidden="1">
      <c r="A44" s="1"/>
      <c r="B44" s="36" t="s">
        <v>46</v>
      </c>
      <c r="C44" s="9">
        <f>D44</f>
        <v>0</v>
      </c>
      <c r="D44" s="9">
        <f>SUM(E44:CT44)</f>
        <v>0</v>
      </c>
      <c r="E44" s="9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9">
        <f>ROUND('[1]Phân bổ 2022'!T54,0)</f>
        <v>0</v>
      </c>
      <c r="T44" s="9"/>
      <c r="U44" s="9"/>
      <c r="V44" s="31"/>
      <c r="W44" s="31"/>
      <c r="X44" s="31"/>
      <c r="Y44" s="31"/>
      <c r="Z44" s="31"/>
      <c r="AA44" s="31"/>
      <c r="AB44" s="46"/>
      <c r="AC44" s="46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2"/>
      <c r="CS44" s="42"/>
      <c r="CT44" s="42"/>
      <c r="CU44" s="42"/>
      <c r="CV44" s="42"/>
      <c r="CW44" s="42"/>
      <c r="CX44" s="42"/>
      <c r="CY44" s="19"/>
    </row>
    <row r="45" spans="1:103" ht="12.75">
      <c r="A45" s="11">
        <v>3</v>
      </c>
      <c r="B45" s="2" t="s">
        <v>25</v>
      </c>
      <c r="C45" s="18">
        <f>D45</f>
        <v>4465.523999999999</v>
      </c>
      <c r="D45" s="18">
        <f>SUM(D46,D47)</f>
        <v>4465.523999999999</v>
      </c>
      <c r="E45" s="18">
        <f aca="true" t="shared" si="23" ref="E45:BL45">SUM(E46,E47)</f>
        <v>0</v>
      </c>
      <c r="F45" s="18">
        <f t="shared" si="23"/>
        <v>0</v>
      </c>
      <c r="G45" s="18">
        <f t="shared" si="23"/>
        <v>0</v>
      </c>
      <c r="H45" s="18">
        <f t="shared" si="23"/>
        <v>0</v>
      </c>
      <c r="I45" s="18">
        <f t="shared" si="23"/>
        <v>0</v>
      </c>
      <c r="J45" s="18">
        <f t="shared" si="23"/>
        <v>0</v>
      </c>
      <c r="K45" s="18">
        <f t="shared" si="23"/>
        <v>0</v>
      </c>
      <c r="L45" s="18">
        <f t="shared" si="23"/>
        <v>0</v>
      </c>
      <c r="M45" s="18">
        <f t="shared" si="23"/>
        <v>0</v>
      </c>
      <c r="N45" s="18">
        <f t="shared" si="23"/>
        <v>0</v>
      </c>
      <c r="O45" s="18">
        <f t="shared" si="23"/>
        <v>0</v>
      </c>
      <c r="P45" s="18">
        <f t="shared" si="23"/>
        <v>3054.9</v>
      </c>
      <c r="Q45" s="18">
        <f t="shared" si="23"/>
        <v>0</v>
      </c>
      <c r="R45" s="18">
        <f t="shared" si="23"/>
        <v>0</v>
      </c>
      <c r="S45" s="18">
        <f t="shared" si="23"/>
        <v>0</v>
      </c>
      <c r="T45" s="18"/>
      <c r="U45" s="18"/>
      <c r="V45" s="18">
        <f t="shared" si="23"/>
        <v>0</v>
      </c>
      <c r="W45" s="18">
        <f t="shared" si="23"/>
        <v>0</v>
      </c>
      <c r="X45" s="18">
        <f t="shared" si="23"/>
        <v>0</v>
      </c>
      <c r="Y45" s="18">
        <f t="shared" si="23"/>
        <v>0</v>
      </c>
      <c r="Z45" s="18">
        <f t="shared" si="23"/>
        <v>0</v>
      </c>
      <c r="AA45" s="18">
        <f t="shared" si="23"/>
        <v>0</v>
      </c>
      <c r="AB45" s="18">
        <f t="shared" si="23"/>
        <v>0</v>
      </c>
      <c r="AC45" s="18">
        <f t="shared" si="23"/>
        <v>0</v>
      </c>
      <c r="AD45" s="18">
        <f t="shared" si="23"/>
        <v>50</v>
      </c>
      <c r="AE45" s="18">
        <f t="shared" si="23"/>
        <v>28.834</v>
      </c>
      <c r="AF45" s="18">
        <f t="shared" si="23"/>
        <v>0</v>
      </c>
      <c r="AG45" s="18">
        <f t="shared" si="23"/>
        <v>50</v>
      </c>
      <c r="AH45" s="18">
        <f t="shared" si="23"/>
        <v>10</v>
      </c>
      <c r="AI45" s="18">
        <f t="shared" si="23"/>
        <v>0</v>
      </c>
      <c r="AJ45" s="18">
        <f t="shared" si="23"/>
        <v>31</v>
      </c>
      <c r="AK45" s="18">
        <f t="shared" si="23"/>
        <v>41.35</v>
      </c>
      <c r="AL45" s="18">
        <f t="shared" si="23"/>
        <v>0</v>
      </c>
      <c r="AM45" s="18">
        <f t="shared" si="23"/>
        <v>0</v>
      </c>
      <c r="AN45" s="18">
        <f t="shared" si="23"/>
        <v>0</v>
      </c>
      <c r="AO45" s="18">
        <f t="shared" si="23"/>
        <v>0</v>
      </c>
      <c r="AP45" s="18">
        <f t="shared" si="23"/>
        <v>0</v>
      </c>
      <c r="AQ45" s="18">
        <f t="shared" si="23"/>
        <v>0</v>
      </c>
      <c r="AR45" s="18">
        <f t="shared" si="23"/>
        <v>0</v>
      </c>
      <c r="AS45" s="18">
        <f t="shared" si="23"/>
        <v>0</v>
      </c>
      <c r="AT45" s="18">
        <f t="shared" si="23"/>
        <v>0</v>
      </c>
      <c r="AU45" s="18">
        <f t="shared" si="23"/>
        <v>0</v>
      </c>
      <c r="AV45" s="18">
        <f t="shared" si="23"/>
        <v>0</v>
      </c>
      <c r="AW45" s="18">
        <f t="shared" si="23"/>
        <v>0</v>
      </c>
      <c r="AX45" s="18">
        <f t="shared" si="23"/>
        <v>0</v>
      </c>
      <c r="AY45" s="18">
        <f t="shared" si="23"/>
        <v>0</v>
      </c>
      <c r="AZ45" s="18">
        <f t="shared" si="23"/>
        <v>0</v>
      </c>
      <c r="BA45" s="18">
        <f t="shared" si="23"/>
        <v>0</v>
      </c>
      <c r="BB45" s="18">
        <f t="shared" si="23"/>
        <v>0</v>
      </c>
      <c r="BC45" s="18">
        <f t="shared" si="23"/>
        <v>0</v>
      </c>
      <c r="BD45" s="18">
        <f t="shared" si="23"/>
        <v>0</v>
      </c>
      <c r="BE45" s="18">
        <f t="shared" si="23"/>
        <v>0</v>
      </c>
      <c r="BF45" s="18">
        <f t="shared" si="23"/>
        <v>0</v>
      </c>
      <c r="BG45" s="18">
        <f t="shared" si="23"/>
        <v>0</v>
      </c>
      <c r="BH45" s="18">
        <f t="shared" si="23"/>
        <v>0</v>
      </c>
      <c r="BI45" s="18">
        <f t="shared" si="23"/>
        <v>0</v>
      </c>
      <c r="BJ45" s="18">
        <f t="shared" si="23"/>
        <v>0</v>
      </c>
      <c r="BK45" s="18">
        <f t="shared" si="23"/>
        <v>0</v>
      </c>
      <c r="BL45" s="18">
        <f t="shared" si="23"/>
        <v>0</v>
      </c>
      <c r="BM45" s="18">
        <f aca="true" t="shared" si="24" ref="BM45:CO45">SUM(BM46,BM47)</f>
        <v>0</v>
      </c>
      <c r="BN45" s="18">
        <f t="shared" si="24"/>
        <v>0</v>
      </c>
      <c r="BO45" s="18">
        <f t="shared" si="24"/>
        <v>0</v>
      </c>
      <c r="BP45" s="18">
        <f t="shared" si="24"/>
        <v>0</v>
      </c>
      <c r="BQ45" s="18">
        <f t="shared" si="24"/>
        <v>0</v>
      </c>
      <c r="BR45" s="18">
        <f t="shared" si="24"/>
        <v>0</v>
      </c>
      <c r="BS45" s="18">
        <f t="shared" si="24"/>
        <v>0</v>
      </c>
      <c r="BT45" s="18">
        <f t="shared" si="24"/>
        <v>0</v>
      </c>
      <c r="BU45" s="18">
        <f t="shared" si="24"/>
        <v>0</v>
      </c>
      <c r="BV45" s="18">
        <f t="shared" si="24"/>
        <v>0</v>
      </c>
      <c r="BW45" s="18">
        <f t="shared" si="24"/>
        <v>0</v>
      </c>
      <c r="BX45" s="18">
        <f t="shared" si="24"/>
        <v>0</v>
      </c>
      <c r="BY45" s="18">
        <f t="shared" si="24"/>
        <v>0</v>
      </c>
      <c r="BZ45" s="18">
        <f t="shared" si="24"/>
        <v>0</v>
      </c>
      <c r="CA45" s="18">
        <f t="shared" si="24"/>
        <v>0</v>
      </c>
      <c r="CB45" s="18">
        <f t="shared" si="24"/>
        <v>0</v>
      </c>
      <c r="CC45" s="18">
        <f t="shared" si="24"/>
        <v>0</v>
      </c>
      <c r="CD45" s="18">
        <f t="shared" si="24"/>
        <v>0</v>
      </c>
      <c r="CE45" s="18">
        <f t="shared" si="24"/>
        <v>0</v>
      </c>
      <c r="CF45" s="18">
        <f t="shared" si="24"/>
        <v>0</v>
      </c>
      <c r="CG45" s="18">
        <f t="shared" si="24"/>
        <v>0</v>
      </c>
      <c r="CH45" s="18">
        <f t="shared" si="24"/>
        <v>0</v>
      </c>
      <c r="CI45" s="18">
        <f t="shared" si="24"/>
        <v>0</v>
      </c>
      <c r="CJ45" s="18">
        <f t="shared" si="24"/>
        <v>0</v>
      </c>
      <c r="CK45" s="18">
        <f t="shared" si="24"/>
        <v>0</v>
      </c>
      <c r="CL45" s="18">
        <f t="shared" si="24"/>
        <v>0</v>
      </c>
      <c r="CM45" s="18">
        <f t="shared" si="24"/>
        <v>0</v>
      </c>
      <c r="CN45" s="18">
        <f t="shared" si="24"/>
        <v>0</v>
      </c>
      <c r="CO45" s="18">
        <f t="shared" si="24"/>
        <v>0</v>
      </c>
      <c r="CP45" s="18">
        <f>SUM(CP46,CP47)</f>
        <v>0</v>
      </c>
      <c r="CQ45" s="18">
        <f>SUM(CQ46,CQ47)</f>
        <v>0</v>
      </c>
      <c r="CR45" s="18">
        <f>SUM(CR46,CR47)</f>
        <v>0</v>
      </c>
      <c r="CS45" s="18">
        <f>SUM(CS46,CS47)</f>
        <v>0</v>
      </c>
      <c r="CT45" s="18">
        <f>SUM(CT46,CT47)</f>
        <v>0</v>
      </c>
      <c r="CU45" s="18">
        <f>SUM(CU46,CU47)</f>
        <v>0</v>
      </c>
      <c r="CV45" s="18">
        <f>SUM(CV46,CV47)</f>
        <v>0</v>
      </c>
      <c r="CW45" s="18">
        <f>SUM(CW46,CW47)</f>
        <v>0</v>
      </c>
      <c r="CX45" s="18">
        <f>SUM(CX46,CX47)</f>
        <v>0</v>
      </c>
      <c r="CY45" s="90">
        <f>CY46+CY47</f>
        <v>1199.44</v>
      </c>
    </row>
    <row r="46" spans="1:103" ht="12.75">
      <c r="A46" s="1" t="s">
        <v>18</v>
      </c>
      <c r="B46" s="3" t="s">
        <v>19</v>
      </c>
      <c r="C46" s="9">
        <f>SUM(D46:CT46)</f>
        <v>0</v>
      </c>
      <c r="D46" s="9">
        <f>SUM(E46:CT46)</f>
        <v>0</v>
      </c>
      <c r="E46" s="13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22"/>
      <c r="W46" s="22"/>
      <c r="X46" s="22"/>
      <c r="Y46" s="22"/>
      <c r="Z46" s="22"/>
      <c r="AA46" s="22"/>
      <c r="AB46" s="22"/>
      <c r="AC46" s="22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</row>
    <row r="47" spans="1:103" ht="12.75">
      <c r="A47" s="1" t="s">
        <v>21</v>
      </c>
      <c r="B47" s="3" t="s">
        <v>20</v>
      </c>
      <c r="C47" s="13">
        <f>D47</f>
        <v>4465.523999999999</v>
      </c>
      <c r="D47" s="13">
        <f>SUM(D48:D48)</f>
        <v>4465.523999999999</v>
      </c>
      <c r="E47" s="13">
        <f aca="true" t="shared" si="25" ref="E47:AH47">SUM(E48:E48)</f>
        <v>0</v>
      </c>
      <c r="F47" s="22">
        <f t="shared" si="25"/>
        <v>0</v>
      </c>
      <c r="G47" s="22">
        <f t="shared" si="25"/>
        <v>0</v>
      </c>
      <c r="H47" s="22">
        <f t="shared" si="25"/>
        <v>0</v>
      </c>
      <c r="I47" s="22">
        <f t="shared" si="25"/>
        <v>0</v>
      </c>
      <c r="J47" s="22">
        <f t="shared" si="25"/>
        <v>0</v>
      </c>
      <c r="K47" s="22">
        <f t="shared" si="25"/>
        <v>0</v>
      </c>
      <c r="L47" s="22">
        <f t="shared" si="25"/>
        <v>0</v>
      </c>
      <c r="M47" s="22">
        <f t="shared" si="25"/>
        <v>0</v>
      </c>
      <c r="N47" s="22">
        <f t="shared" si="25"/>
        <v>0</v>
      </c>
      <c r="O47" s="22">
        <f t="shared" si="25"/>
        <v>0</v>
      </c>
      <c r="P47" s="22">
        <f t="shared" si="25"/>
        <v>3054.9</v>
      </c>
      <c r="Q47" s="22">
        <f t="shared" si="25"/>
        <v>0</v>
      </c>
      <c r="R47" s="22">
        <f t="shared" si="25"/>
        <v>0</v>
      </c>
      <c r="S47" s="22">
        <f t="shared" si="25"/>
        <v>0</v>
      </c>
      <c r="T47" s="22"/>
      <c r="U47" s="22"/>
      <c r="V47" s="22">
        <f t="shared" si="25"/>
        <v>0</v>
      </c>
      <c r="W47" s="22">
        <f t="shared" si="25"/>
        <v>0</v>
      </c>
      <c r="X47" s="22">
        <f t="shared" si="25"/>
        <v>0</v>
      </c>
      <c r="Y47" s="22">
        <f t="shared" si="25"/>
        <v>0</v>
      </c>
      <c r="Z47" s="22">
        <f t="shared" si="25"/>
        <v>0</v>
      </c>
      <c r="AA47" s="22">
        <f t="shared" si="25"/>
        <v>0</v>
      </c>
      <c r="AB47" s="22">
        <f t="shared" si="25"/>
        <v>0</v>
      </c>
      <c r="AC47" s="22">
        <f t="shared" si="25"/>
        <v>0</v>
      </c>
      <c r="AD47" s="22">
        <f t="shared" si="25"/>
        <v>50</v>
      </c>
      <c r="AE47" s="22">
        <f t="shared" si="25"/>
        <v>28.834</v>
      </c>
      <c r="AF47" s="22">
        <f t="shared" si="25"/>
        <v>0</v>
      </c>
      <c r="AG47" s="22">
        <f t="shared" si="25"/>
        <v>50</v>
      </c>
      <c r="AH47" s="22">
        <f t="shared" si="25"/>
        <v>10</v>
      </c>
      <c r="AI47" s="22">
        <f aca="true" t="shared" si="26" ref="AI47:AR47">SUM(AI48:AI48)</f>
        <v>0</v>
      </c>
      <c r="AJ47" s="22">
        <f t="shared" si="26"/>
        <v>31</v>
      </c>
      <c r="AK47" s="22">
        <f t="shared" si="26"/>
        <v>41.35</v>
      </c>
      <c r="AL47" s="22">
        <f t="shared" si="26"/>
        <v>0</v>
      </c>
      <c r="AM47" s="22">
        <f t="shared" si="26"/>
        <v>0</v>
      </c>
      <c r="AN47" s="22">
        <f t="shared" si="26"/>
        <v>0</v>
      </c>
      <c r="AO47" s="22">
        <f t="shared" si="26"/>
        <v>0</v>
      </c>
      <c r="AP47" s="22">
        <f t="shared" si="26"/>
        <v>0</v>
      </c>
      <c r="AQ47" s="22">
        <f t="shared" si="26"/>
        <v>0</v>
      </c>
      <c r="AR47" s="22">
        <f t="shared" si="26"/>
        <v>0</v>
      </c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>
        <f>CY48</f>
        <v>1199.44</v>
      </c>
    </row>
    <row r="48" spans="1:103" s="49" customFormat="1" ht="12.75">
      <c r="A48" s="47"/>
      <c r="B48" s="48" t="s">
        <v>3</v>
      </c>
      <c r="C48" s="9">
        <f>D48</f>
        <v>4465.523999999999</v>
      </c>
      <c r="D48" s="9">
        <f>SUM(E48:CY48)</f>
        <v>4465.523999999999</v>
      </c>
      <c r="E48" s="9"/>
      <c r="F48" s="7"/>
      <c r="G48" s="7"/>
      <c r="H48" s="7"/>
      <c r="I48" s="7"/>
      <c r="J48" s="7"/>
      <c r="K48" s="9"/>
      <c r="L48" s="7"/>
      <c r="M48" s="7"/>
      <c r="N48" s="7"/>
      <c r="O48" s="17"/>
      <c r="P48" s="7">
        <v>3054.9</v>
      </c>
      <c r="Q48" s="7"/>
      <c r="R48" s="7"/>
      <c r="S48" s="7"/>
      <c r="T48" s="7"/>
      <c r="U48" s="7"/>
      <c r="V48" s="31"/>
      <c r="W48" s="31"/>
      <c r="X48" s="31"/>
      <c r="Y48" s="31"/>
      <c r="Z48" s="31"/>
      <c r="AA48" s="31"/>
      <c r="AB48" s="31"/>
      <c r="AC48" s="31">
        <f>'[4]PL1'!$G$12/100000</f>
        <v>0</v>
      </c>
      <c r="AD48" s="31">
        <f>'[4]PL1'!$G$13/1000000</f>
        <v>50</v>
      </c>
      <c r="AE48" s="31">
        <f>'[4]PL1'!$G$14/1000000</f>
        <v>28.834</v>
      </c>
      <c r="AF48" s="31">
        <f>'[4]PL1'!$G$15/1000000</f>
        <v>0</v>
      </c>
      <c r="AG48" s="31">
        <f>'[4]PL1'!$G$16/1000000</f>
        <v>50</v>
      </c>
      <c r="AH48" s="31">
        <f>'[4]PL1'!$G$17/1000000</f>
        <v>10</v>
      </c>
      <c r="AI48" s="31">
        <f>'[4]PL1'!$G$18/1000000</f>
        <v>0</v>
      </c>
      <c r="AJ48" s="31">
        <f>'[4]PL1'!$G$19/1000000</f>
        <v>31</v>
      </c>
      <c r="AK48" s="31">
        <f>'[4]PL1'!$G$20/1000000</f>
        <v>41.35</v>
      </c>
      <c r="AL48" s="31">
        <f>'[4]PL1'!$G$21/1000000</f>
        <v>0</v>
      </c>
      <c r="AM48" s="31"/>
      <c r="AN48" s="31"/>
      <c r="AO48" s="31"/>
      <c r="AP48" s="31"/>
      <c r="AQ48" s="31"/>
      <c r="AR48" s="31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>
        <f>'[4]PL1'!$G$10/1000000</f>
        <v>1199.44</v>
      </c>
    </row>
    <row r="49" spans="1:103" ht="12.75">
      <c r="A49" s="11">
        <v>4</v>
      </c>
      <c r="B49" s="2" t="s">
        <v>26</v>
      </c>
      <c r="C49" s="18">
        <f>D49</f>
        <v>80104.76100000001</v>
      </c>
      <c r="D49" s="18">
        <f>SUM(D50,D51)</f>
        <v>80104.76100000001</v>
      </c>
      <c r="E49" s="18">
        <f>SUM(E50,E51)</f>
        <v>78</v>
      </c>
      <c r="F49" s="18">
        <f>SUM(F50,F51)</f>
        <v>0</v>
      </c>
      <c r="G49" s="18">
        <f>SUM(G50,G51)</f>
        <v>0</v>
      </c>
      <c r="H49" s="18">
        <f>SUM(H50,H51)</f>
        <v>0</v>
      </c>
      <c r="I49" s="18">
        <f>SUM(I50,I51)</f>
        <v>0</v>
      </c>
      <c r="J49" s="18">
        <f>SUM(J50,J51)</f>
        <v>0</v>
      </c>
      <c r="K49" s="18">
        <f>SUM(K50,K51)</f>
        <v>40009.815</v>
      </c>
      <c r="L49" s="18">
        <f>SUM(L50,L51)</f>
        <v>0</v>
      </c>
      <c r="M49" s="18">
        <f>SUM(M50,M51)</f>
        <v>0</v>
      </c>
      <c r="N49" s="18">
        <f>SUM(N50,N51)</f>
        <v>0</v>
      </c>
      <c r="O49" s="18">
        <f>SUM(O50,O51)</f>
        <v>0</v>
      </c>
      <c r="P49" s="18">
        <f>SUM(P50,P51)</f>
        <v>0</v>
      </c>
      <c r="Q49" s="18">
        <f>SUM(Q50,Q51)</f>
        <v>0</v>
      </c>
      <c r="R49" s="18">
        <f>SUM(R50,R51)</f>
        <v>0</v>
      </c>
      <c r="S49" s="18">
        <f>SUM(S50,S51)</f>
        <v>0</v>
      </c>
      <c r="T49" s="18"/>
      <c r="U49" s="18"/>
      <c r="V49" s="18">
        <f>SUM(V50,V51)</f>
        <v>0</v>
      </c>
      <c r="W49" s="18">
        <f>SUM(W50,W51)</f>
        <v>0</v>
      </c>
      <c r="X49" s="18">
        <f>SUM(X50,X51)</f>
        <v>0</v>
      </c>
      <c r="Y49" s="18">
        <f>SUM(Y50,Y51)</f>
        <v>0</v>
      </c>
      <c r="Z49" s="18">
        <f>SUM(Z50,Z51)</f>
        <v>0</v>
      </c>
      <c r="AA49" s="18">
        <f>SUM(AA50,AA51)</f>
        <v>0</v>
      </c>
      <c r="AB49" s="18">
        <f>SUM(AB50,AB51)</f>
        <v>0</v>
      </c>
      <c r="AC49" s="18">
        <f>SUM(AC50,AC51)</f>
        <v>4475.2</v>
      </c>
      <c r="AD49" s="18">
        <f>SUM(AD50,AD51)</f>
        <v>2155.36</v>
      </c>
      <c r="AE49" s="18">
        <f>SUM(AE50,AE51)</f>
        <v>1056.68</v>
      </c>
      <c r="AF49" s="18">
        <f>SUM(AF50,AF51)</f>
        <v>3597</v>
      </c>
      <c r="AG49" s="18">
        <f>SUM(AG50,AG51)</f>
        <v>1783.51</v>
      </c>
      <c r="AH49" s="18">
        <f>SUM(AH50,AH51)</f>
        <v>2073.56</v>
      </c>
      <c r="AI49" s="18">
        <f>SUM(AI50,AI51)</f>
        <v>6396.4</v>
      </c>
      <c r="AJ49" s="18">
        <f>SUM(AJ50,AJ51)</f>
        <v>468.61</v>
      </c>
      <c r="AK49" s="18">
        <f>SUM(AK50,AK51)</f>
        <v>2523.556</v>
      </c>
      <c r="AL49" s="18">
        <f>SUM(AL50,AL51)</f>
        <v>3958.28</v>
      </c>
      <c r="AM49" s="18">
        <f>SUM(AM50,AM51)</f>
        <v>1265.64</v>
      </c>
      <c r="AN49" s="18">
        <f>SUM(AN50,AN51)</f>
        <v>2900.16</v>
      </c>
      <c r="AO49" s="18">
        <f>SUM(AO50,AO51)</f>
        <v>1540.72</v>
      </c>
      <c r="AP49" s="18">
        <f>SUM(AP50,AP51)</f>
        <v>1798.83</v>
      </c>
      <c r="AQ49" s="18">
        <f>SUM(AQ50,AQ51)</f>
        <v>2203.84</v>
      </c>
      <c r="AR49" s="18">
        <f>SUM(AR50,AR51)</f>
        <v>1819.6</v>
      </c>
      <c r="AS49" s="18">
        <f>SUM(AS50,AS51)</f>
        <v>0</v>
      </c>
      <c r="AT49" s="18">
        <f>SUM(AT50,AT51)</f>
        <v>0</v>
      </c>
      <c r="AU49" s="18">
        <f>SUM(AU50,AU51)</f>
        <v>0</v>
      </c>
      <c r="AV49" s="18">
        <f>SUM(AV50,AV51)</f>
        <v>0</v>
      </c>
      <c r="AW49" s="18">
        <f>SUM(AW50,AW51)</f>
        <v>0</v>
      </c>
      <c r="AX49" s="18">
        <f>SUM(AX50,AX51)</f>
        <v>0</v>
      </c>
      <c r="AY49" s="18">
        <f>SUM(AY50,AY51)</f>
        <v>0</v>
      </c>
      <c r="AZ49" s="18">
        <f>SUM(AZ50,AZ51)</f>
        <v>0</v>
      </c>
      <c r="BA49" s="18">
        <f>SUM(BA50,BA51)</f>
        <v>0</v>
      </c>
      <c r="BB49" s="18">
        <f>SUM(BB50,BB51)</f>
        <v>0</v>
      </c>
      <c r="BC49" s="18">
        <f>SUM(BC50,BC51)</f>
        <v>0</v>
      </c>
      <c r="BD49" s="18">
        <f>SUM(BD50,BD51)</f>
        <v>0</v>
      </c>
      <c r="BE49" s="18">
        <f>SUM(BE50,BE51)</f>
        <v>0</v>
      </c>
      <c r="BF49" s="18">
        <f>SUM(BF50,BF51)</f>
        <v>0</v>
      </c>
      <c r="BG49" s="18">
        <f>SUM(BG50,BG51)</f>
        <v>0</v>
      </c>
      <c r="BH49" s="18">
        <f>SUM(BH50,BH51)</f>
        <v>0</v>
      </c>
      <c r="BI49" s="18">
        <f>SUM(BI50,BI51)</f>
        <v>0</v>
      </c>
      <c r="BJ49" s="18">
        <f>SUM(BJ50,BJ51)</f>
        <v>0</v>
      </c>
      <c r="BK49" s="18">
        <f>SUM(BK50,BK51)</f>
        <v>0</v>
      </c>
      <c r="BL49" s="18">
        <f>SUM(BL50,BL51)</f>
        <v>0</v>
      </c>
      <c r="BM49" s="18">
        <f>SUM(BM50,BM51)</f>
        <v>0</v>
      </c>
      <c r="BN49" s="18">
        <f>SUM(BN50,BN51)</f>
        <v>0</v>
      </c>
      <c r="BO49" s="18">
        <f>SUM(BO50,BO51)</f>
        <v>0</v>
      </c>
      <c r="BP49" s="18">
        <f>SUM(BP50,BP51)</f>
        <v>0</v>
      </c>
      <c r="BQ49" s="18">
        <f>SUM(BQ50,BQ51)</f>
        <v>0</v>
      </c>
      <c r="BR49" s="18">
        <f>SUM(BR50,BR51)</f>
        <v>0</v>
      </c>
      <c r="BS49" s="18">
        <f>SUM(BS50,BS51)</f>
        <v>0</v>
      </c>
      <c r="BT49" s="18">
        <f>SUM(BT50,BT51)</f>
        <v>0</v>
      </c>
      <c r="BU49" s="18">
        <f>SUM(BU50,BU51)</f>
        <v>0</v>
      </c>
      <c r="BV49" s="18">
        <f>SUM(BV50,BV51)</f>
        <v>0</v>
      </c>
      <c r="BW49" s="18">
        <f>SUM(BW50,BW51)</f>
        <v>0</v>
      </c>
      <c r="BX49" s="18">
        <f>SUM(BX50,BX51)</f>
        <v>0</v>
      </c>
      <c r="BY49" s="18">
        <f>SUM(BY50,BY51)</f>
        <v>0</v>
      </c>
      <c r="BZ49" s="18">
        <f>SUM(BZ50,BZ51)</f>
        <v>0</v>
      </c>
      <c r="CA49" s="18">
        <f>SUM(CA50,CA51)</f>
        <v>0</v>
      </c>
      <c r="CB49" s="18">
        <f>SUM(CB50,CB51)</f>
        <v>0</v>
      </c>
      <c r="CC49" s="18">
        <f>SUM(CC50,CC51)</f>
        <v>0</v>
      </c>
      <c r="CD49" s="18">
        <f>SUM(CD50,CD51)</f>
        <v>0</v>
      </c>
      <c r="CE49" s="18">
        <f>SUM(CE50,CE51)</f>
        <v>0</v>
      </c>
      <c r="CF49" s="18">
        <f>SUM(CF50,CF51)</f>
        <v>0</v>
      </c>
      <c r="CG49" s="18">
        <f>SUM(CG50,CG51)</f>
        <v>0</v>
      </c>
      <c r="CH49" s="18">
        <f>SUM(CH50,CH51)</f>
        <v>0</v>
      </c>
      <c r="CI49" s="18">
        <f>SUM(CI50,CI51)</f>
        <v>0</v>
      </c>
      <c r="CJ49" s="18">
        <f>SUM(CJ50,CJ51)</f>
        <v>0</v>
      </c>
      <c r="CK49" s="18">
        <f>SUM(CK50,CK51)</f>
        <v>0</v>
      </c>
      <c r="CL49" s="18">
        <f>SUM(CL50,CL51)</f>
        <v>0</v>
      </c>
      <c r="CM49" s="18">
        <f>SUM(CM50,CM51)</f>
        <v>0</v>
      </c>
      <c r="CN49" s="18">
        <f>SUM(CN50,CN51)</f>
        <v>0</v>
      </c>
      <c r="CO49" s="18">
        <f>SUM(CO50,CO51)</f>
        <v>0</v>
      </c>
      <c r="CP49" s="18">
        <f>SUM(CP50,CP51)</f>
        <v>0</v>
      </c>
      <c r="CQ49" s="18">
        <f>SUM(CQ50,CQ51)</f>
        <v>0</v>
      </c>
      <c r="CR49" s="18">
        <f>SUM(CR50,CR51)</f>
        <v>0</v>
      </c>
      <c r="CS49" s="18">
        <f>SUM(CS50,CS51)</f>
        <v>0</v>
      </c>
      <c r="CT49" s="18">
        <f>SUM(CT50,CT51)</f>
        <v>0</v>
      </c>
      <c r="CU49" s="18">
        <f>SUM(CU50,CU51)</f>
        <v>0</v>
      </c>
      <c r="CV49" s="18">
        <f>SUM(CV50,CV51)</f>
        <v>0</v>
      </c>
      <c r="CW49" s="18">
        <f>SUM(CW50,CW51)</f>
        <v>0</v>
      </c>
      <c r="CX49" s="18">
        <f>SUM(CX50,CX51)</f>
        <v>0</v>
      </c>
      <c r="CY49" s="19"/>
    </row>
    <row r="50" spans="1:103" ht="12.75">
      <c r="A50" s="1" t="s">
        <v>27</v>
      </c>
      <c r="B50" s="3" t="s">
        <v>19</v>
      </c>
      <c r="C50" s="9">
        <f>SUM(D50:CT50)</f>
        <v>0</v>
      </c>
      <c r="D50" s="9">
        <f>SUM(E50:CT50)</f>
        <v>0</v>
      </c>
      <c r="E50" s="13"/>
      <c r="F50" s="5"/>
      <c r="G50" s="5"/>
      <c r="H50" s="5" t="s">
        <v>248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22"/>
      <c r="W50" s="22"/>
      <c r="X50" s="22"/>
      <c r="Y50" s="22"/>
      <c r="Z50" s="22"/>
      <c r="AA50" s="22"/>
      <c r="AB50" s="22"/>
      <c r="AC50" s="22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</row>
    <row r="51" spans="1:103" ht="12.75">
      <c r="A51" s="1" t="s">
        <v>28</v>
      </c>
      <c r="B51" s="3" t="s">
        <v>20</v>
      </c>
      <c r="C51" s="13">
        <f>D51</f>
        <v>80104.76100000001</v>
      </c>
      <c r="D51" s="13">
        <f>D52</f>
        <v>80104.76100000001</v>
      </c>
      <c r="E51" s="13">
        <f aca="true" t="shared" si="27" ref="E51:BL51">E52</f>
        <v>78</v>
      </c>
      <c r="F51" s="13">
        <f t="shared" si="27"/>
        <v>0</v>
      </c>
      <c r="G51" s="13">
        <f t="shared" si="27"/>
        <v>0</v>
      </c>
      <c r="H51" s="13">
        <f t="shared" si="27"/>
        <v>0</v>
      </c>
      <c r="I51" s="13">
        <f t="shared" si="27"/>
        <v>0</v>
      </c>
      <c r="J51" s="13">
        <f t="shared" si="27"/>
        <v>0</v>
      </c>
      <c r="K51" s="13">
        <f t="shared" si="27"/>
        <v>40009.815</v>
      </c>
      <c r="L51" s="13">
        <f t="shared" si="27"/>
        <v>0</v>
      </c>
      <c r="M51" s="13">
        <f t="shared" si="27"/>
        <v>0</v>
      </c>
      <c r="N51" s="13">
        <f t="shared" si="27"/>
        <v>0</v>
      </c>
      <c r="O51" s="13">
        <f t="shared" si="27"/>
        <v>0</v>
      </c>
      <c r="P51" s="13">
        <f t="shared" si="27"/>
        <v>0</v>
      </c>
      <c r="Q51" s="13">
        <f t="shared" si="27"/>
        <v>0</v>
      </c>
      <c r="R51" s="13">
        <f t="shared" si="27"/>
        <v>0</v>
      </c>
      <c r="S51" s="13">
        <f t="shared" si="27"/>
        <v>0</v>
      </c>
      <c r="T51" s="13"/>
      <c r="U51" s="13"/>
      <c r="V51" s="13">
        <f t="shared" si="27"/>
        <v>0</v>
      </c>
      <c r="W51" s="13">
        <f t="shared" si="27"/>
        <v>0</v>
      </c>
      <c r="X51" s="13">
        <f t="shared" si="27"/>
        <v>0</v>
      </c>
      <c r="Y51" s="13">
        <f t="shared" si="27"/>
        <v>0</v>
      </c>
      <c r="Z51" s="13">
        <f t="shared" si="27"/>
        <v>0</v>
      </c>
      <c r="AA51" s="13">
        <f t="shared" si="27"/>
        <v>0</v>
      </c>
      <c r="AB51" s="13">
        <f t="shared" si="27"/>
        <v>0</v>
      </c>
      <c r="AC51" s="13">
        <f t="shared" si="27"/>
        <v>4475.2</v>
      </c>
      <c r="AD51" s="13">
        <f t="shared" si="27"/>
        <v>2155.36</v>
      </c>
      <c r="AE51" s="13">
        <f t="shared" si="27"/>
        <v>1056.68</v>
      </c>
      <c r="AF51" s="13">
        <f t="shared" si="27"/>
        <v>3597</v>
      </c>
      <c r="AG51" s="13">
        <f t="shared" si="27"/>
        <v>1783.51</v>
      </c>
      <c r="AH51" s="13">
        <f t="shared" si="27"/>
        <v>2073.56</v>
      </c>
      <c r="AI51" s="13">
        <f t="shared" si="27"/>
        <v>6396.4</v>
      </c>
      <c r="AJ51" s="13">
        <f t="shared" si="27"/>
        <v>468.61</v>
      </c>
      <c r="AK51" s="13">
        <f t="shared" si="27"/>
        <v>2523.556</v>
      </c>
      <c r="AL51" s="13">
        <f t="shared" si="27"/>
        <v>3958.28</v>
      </c>
      <c r="AM51" s="13">
        <f t="shared" si="27"/>
        <v>1265.64</v>
      </c>
      <c r="AN51" s="13">
        <f t="shared" si="27"/>
        <v>2900.16</v>
      </c>
      <c r="AO51" s="13">
        <f t="shared" si="27"/>
        <v>1540.72</v>
      </c>
      <c r="AP51" s="13">
        <f t="shared" si="27"/>
        <v>1798.83</v>
      </c>
      <c r="AQ51" s="13">
        <f t="shared" si="27"/>
        <v>2203.84</v>
      </c>
      <c r="AR51" s="13">
        <f t="shared" si="27"/>
        <v>1819.6</v>
      </c>
      <c r="AS51" s="13">
        <f t="shared" si="27"/>
        <v>0</v>
      </c>
      <c r="AT51" s="13">
        <f t="shared" si="27"/>
        <v>0</v>
      </c>
      <c r="AU51" s="13">
        <f t="shared" si="27"/>
        <v>0</v>
      </c>
      <c r="AV51" s="13">
        <f t="shared" si="27"/>
        <v>0</v>
      </c>
      <c r="AW51" s="13">
        <f t="shared" si="27"/>
        <v>0</v>
      </c>
      <c r="AX51" s="13">
        <f t="shared" si="27"/>
        <v>0</v>
      </c>
      <c r="AY51" s="13">
        <f t="shared" si="27"/>
        <v>0</v>
      </c>
      <c r="AZ51" s="13">
        <f t="shared" si="27"/>
        <v>0</v>
      </c>
      <c r="BA51" s="13">
        <f t="shared" si="27"/>
        <v>0</v>
      </c>
      <c r="BB51" s="13">
        <f t="shared" si="27"/>
        <v>0</v>
      </c>
      <c r="BC51" s="13">
        <f t="shared" si="27"/>
        <v>0</v>
      </c>
      <c r="BD51" s="13">
        <f t="shared" si="27"/>
        <v>0</v>
      </c>
      <c r="BE51" s="13">
        <f t="shared" si="27"/>
        <v>0</v>
      </c>
      <c r="BF51" s="13">
        <f t="shared" si="27"/>
        <v>0</v>
      </c>
      <c r="BG51" s="13">
        <f t="shared" si="27"/>
        <v>0</v>
      </c>
      <c r="BH51" s="13">
        <f t="shared" si="27"/>
        <v>0</v>
      </c>
      <c r="BI51" s="13">
        <f t="shared" si="27"/>
        <v>0</v>
      </c>
      <c r="BJ51" s="13">
        <f t="shared" si="27"/>
        <v>0</v>
      </c>
      <c r="BK51" s="13">
        <f t="shared" si="27"/>
        <v>0</v>
      </c>
      <c r="BL51" s="13">
        <f t="shared" si="27"/>
        <v>0</v>
      </c>
      <c r="BM51" s="13">
        <f aca="true" t="shared" si="28" ref="BM51:CX51">BM52</f>
        <v>0</v>
      </c>
      <c r="BN51" s="13">
        <f t="shared" si="28"/>
        <v>0</v>
      </c>
      <c r="BO51" s="13">
        <f t="shared" si="28"/>
        <v>0</v>
      </c>
      <c r="BP51" s="13">
        <f t="shared" si="28"/>
        <v>0</v>
      </c>
      <c r="BQ51" s="13">
        <f t="shared" si="28"/>
        <v>0</v>
      </c>
      <c r="BR51" s="13">
        <f t="shared" si="28"/>
        <v>0</v>
      </c>
      <c r="BS51" s="13">
        <f t="shared" si="28"/>
        <v>0</v>
      </c>
      <c r="BT51" s="13">
        <f t="shared" si="28"/>
        <v>0</v>
      </c>
      <c r="BU51" s="13">
        <f t="shared" si="28"/>
        <v>0</v>
      </c>
      <c r="BV51" s="13">
        <f t="shared" si="28"/>
        <v>0</v>
      </c>
      <c r="BW51" s="13">
        <f t="shared" si="28"/>
        <v>0</v>
      </c>
      <c r="BX51" s="13">
        <f t="shared" si="28"/>
        <v>0</v>
      </c>
      <c r="BY51" s="13">
        <f t="shared" si="28"/>
        <v>0</v>
      </c>
      <c r="BZ51" s="13">
        <f t="shared" si="28"/>
        <v>0</v>
      </c>
      <c r="CA51" s="13">
        <f t="shared" si="28"/>
        <v>0</v>
      </c>
      <c r="CB51" s="13">
        <f t="shared" si="28"/>
        <v>0</v>
      </c>
      <c r="CC51" s="13">
        <f t="shared" si="28"/>
        <v>0</v>
      </c>
      <c r="CD51" s="13">
        <f t="shared" si="28"/>
        <v>0</v>
      </c>
      <c r="CE51" s="13">
        <f t="shared" si="28"/>
        <v>0</v>
      </c>
      <c r="CF51" s="13">
        <f t="shared" si="28"/>
        <v>0</v>
      </c>
      <c r="CG51" s="13">
        <f t="shared" si="28"/>
        <v>0</v>
      </c>
      <c r="CH51" s="13">
        <f t="shared" si="28"/>
        <v>0</v>
      </c>
      <c r="CI51" s="13">
        <f t="shared" si="28"/>
        <v>0</v>
      </c>
      <c r="CJ51" s="13">
        <f t="shared" si="28"/>
        <v>0</v>
      </c>
      <c r="CK51" s="13">
        <f t="shared" si="28"/>
        <v>0</v>
      </c>
      <c r="CL51" s="13">
        <f t="shared" si="28"/>
        <v>0</v>
      </c>
      <c r="CM51" s="13">
        <f t="shared" si="28"/>
        <v>0</v>
      </c>
      <c r="CN51" s="13">
        <f t="shared" si="28"/>
        <v>0</v>
      </c>
      <c r="CO51" s="13">
        <f t="shared" si="28"/>
        <v>0</v>
      </c>
      <c r="CP51" s="13">
        <f t="shared" si="28"/>
        <v>0</v>
      </c>
      <c r="CQ51" s="13">
        <f t="shared" si="28"/>
        <v>0</v>
      </c>
      <c r="CR51" s="13">
        <f t="shared" si="28"/>
        <v>0</v>
      </c>
      <c r="CS51" s="13">
        <f t="shared" si="28"/>
        <v>0</v>
      </c>
      <c r="CT51" s="13">
        <f t="shared" si="28"/>
        <v>0</v>
      </c>
      <c r="CU51" s="13">
        <f t="shared" si="28"/>
        <v>0</v>
      </c>
      <c r="CV51" s="13">
        <f t="shared" si="28"/>
        <v>0</v>
      </c>
      <c r="CW51" s="13">
        <f t="shared" si="28"/>
        <v>0</v>
      </c>
      <c r="CX51" s="13">
        <f t="shared" si="28"/>
        <v>0</v>
      </c>
      <c r="CY51" s="19"/>
    </row>
    <row r="52" spans="1:103" ht="12.75">
      <c r="A52" s="1"/>
      <c r="B52" s="34" t="str">
        <f>B48</f>
        <v> - Kinh phí không thường xuyên</v>
      </c>
      <c r="C52" s="9">
        <f>D52</f>
        <v>80104.76100000001</v>
      </c>
      <c r="D52" s="9">
        <f>SUM(E52:CY52)</f>
        <v>80104.76100000001</v>
      </c>
      <c r="E52" s="9">
        <v>78</v>
      </c>
      <c r="F52" s="7">
        <f>ROUND('[1]Phân bổ 2022'!G69,0)</f>
        <v>0</v>
      </c>
      <c r="G52" s="7"/>
      <c r="H52" s="7"/>
      <c r="I52" s="7"/>
      <c r="J52" s="7"/>
      <c r="K52" s="7">
        <f>33596+1141+5272.815</f>
        <v>40009.815</v>
      </c>
      <c r="L52" s="7"/>
      <c r="M52" s="7"/>
      <c r="N52" s="7"/>
      <c r="O52" s="7"/>
      <c r="P52" s="7"/>
      <c r="Q52" s="7"/>
      <c r="R52" s="7"/>
      <c r="S52" s="7"/>
      <c r="T52" s="7"/>
      <c r="U52" s="7"/>
      <c r="V52" s="31"/>
      <c r="W52" s="31"/>
      <c r="X52" s="31"/>
      <c r="Y52" s="31"/>
      <c r="Z52" s="31"/>
      <c r="AA52" s="31"/>
      <c r="AB52" s="31"/>
      <c r="AC52" s="31">
        <f>4475.2</f>
        <v>4475.2</v>
      </c>
      <c r="AD52" s="31">
        <f>2155.36</f>
        <v>2155.36</v>
      </c>
      <c r="AE52" s="31">
        <f>1056.68</f>
        <v>1056.68</v>
      </c>
      <c r="AF52" s="31">
        <f>3597</f>
        <v>3597</v>
      </c>
      <c r="AG52" s="31">
        <f>1783.51</f>
        <v>1783.51</v>
      </c>
      <c r="AH52" s="31">
        <f>2073.56</f>
        <v>2073.56</v>
      </c>
      <c r="AI52" s="31">
        <f>6396.4</f>
        <v>6396.4</v>
      </c>
      <c r="AJ52" s="31">
        <f>468.61</f>
        <v>468.61</v>
      </c>
      <c r="AK52" s="31">
        <f>2523.556</f>
        <v>2523.556</v>
      </c>
      <c r="AL52" s="31">
        <f>3958.28</f>
        <v>3958.28</v>
      </c>
      <c r="AM52" s="31">
        <f>1265.64</f>
        <v>1265.64</v>
      </c>
      <c r="AN52" s="31">
        <f>2900.16</f>
        <v>2900.16</v>
      </c>
      <c r="AO52" s="31">
        <f>1540.72</f>
        <v>1540.72</v>
      </c>
      <c r="AP52" s="31">
        <f>1798.83</f>
        <v>1798.83</v>
      </c>
      <c r="AQ52" s="31">
        <f>2203.84</f>
        <v>2203.84</v>
      </c>
      <c r="AR52" s="31">
        <f>1819.6</f>
        <v>1819.6</v>
      </c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</row>
    <row r="53" spans="1:103" ht="12.75">
      <c r="A53" s="11">
        <v>5</v>
      </c>
      <c r="B53" s="2" t="s">
        <v>31</v>
      </c>
      <c r="C53" s="18">
        <f>D53</f>
        <v>-30</v>
      </c>
      <c r="D53" s="18">
        <f>SUM(D54,D55)</f>
        <v>-30</v>
      </c>
      <c r="E53" s="18">
        <f aca="true" t="shared" si="29" ref="E53:AR53">SUM(E54,E55)</f>
        <v>0</v>
      </c>
      <c r="F53" s="18">
        <f t="shared" si="29"/>
        <v>0</v>
      </c>
      <c r="G53" s="18">
        <f t="shared" si="29"/>
        <v>0</v>
      </c>
      <c r="H53" s="18">
        <f t="shared" si="29"/>
        <v>0</v>
      </c>
      <c r="I53" s="18">
        <f t="shared" si="29"/>
        <v>0</v>
      </c>
      <c r="J53" s="18">
        <f t="shared" si="29"/>
        <v>0</v>
      </c>
      <c r="K53" s="18">
        <f t="shared" si="29"/>
        <v>0</v>
      </c>
      <c r="L53" s="18">
        <f t="shared" si="29"/>
        <v>0</v>
      </c>
      <c r="M53" s="18">
        <f t="shared" si="29"/>
        <v>0</v>
      </c>
      <c r="N53" s="18">
        <f t="shared" si="29"/>
        <v>0</v>
      </c>
      <c r="O53" s="18">
        <f t="shared" si="29"/>
        <v>0</v>
      </c>
      <c r="P53" s="18">
        <f t="shared" si="29"/>
        <v>0</v>
      </c>
      <c r="Q53" s="18">
        <f t="shared" si="29"/>
        <v>0</v>
      </c>
      <c r="R53" s="18">
        <f t="shared" si="29"/>
        <v>0</v>
      </c>
      <c r="S53" s="18">
        <f t="shared" si="29"/>
        <v>0</v>
      </c>
      <c r="T53" s="18">
        <f t="shared" si="29"/>
        <v>0</v>
      </c>
      <c r="U53" s="18">
        <f t="shared" si="29"/>
        <v>0</v>
      </c>
      <c r="V53" s="18">
        <f t="shared" si="29"/>
        <v>0</v>
      </c>
      <c r="W53" s="18">
        <f t="shared" si="29"/>
        <v>0</v>
      </c>
      <c r="X53" s="18">
        <f t="shared" si="29"/>
        <v>0</v>
      </c>
      <c r="Y53" s="18">
        <f t="shared" si="29"/>
        <v>0</v>
      </c>
      <c r="Z53" s="18">
        <f t="shared" si="29"/>
        <v>0</v>
      </c>
      <c r="AA53" s="18">
        <f t="shared" si="29"/>
        <v>0</v>
      </c>
      <c r="AB53" s="18">
        <f t="shared" si="29"/>
        <v>0</v>
      </c>
      <c r="AC53" s="18">
        <f t="shared" si="29"/>
        <v>0</v>
      </c>
      <c r="AD53" s="18">
        <f t="shared" si="29"/>
        <v>0</v>
      </c>
      <c r="AE53" s="18">
        <f t="shared" si="29"/>
        <v>0</v>
      </c>
      <c r="AF53" s="18">
        <f t="shared" si="29"/>
        <v>0</v>
      </c>
      <c r="AG53" s="18">
        <f t="shared" si="29"/>
        <v>0</v>
      </c>
      <c r="AH53" s="18">
        <f t="shared" si="29"/>
        <v>0</v>
      </c>
      <c r="AI53" s="18">
        <f t="shared" si="29"/>
        <v>0</v>
      </c>
      <c r="AJ53" s="18">
        <f t="shared" si="29"/>
        <v>0</v>
      </c>
      <c r="AK53" s="18">
        <f t="shared" si="29"/>
        <v>0</v>
      </c>
      <c r="AL53" s="18">
        <f t="shared" si="29"/>
        <v>0</v>
      </c>
      <c r="AM53" s="18">
        <f t="shared" si="29"/>
        <v>0</v>
      </c>
      <c r="AN53" s="18">
        <f t="shared" si="29"/>
        <v>0</v>
      </c>
      <c r="AO53" s="18">
        <f t="shared" si="29"/>
        <v>0</v>
      </c>
      <c r="AP53" s="18">
        <f t="shared" si="29"/>
        <v>0</v>
      </c>
      <c r="AQ53" s="18">
        <f t="shared" si="29"/>
        <v>0</v>
      </c>
      <c r="AR53" s="18">
        <f t="shared" si="29"/>
        <v>0.44</v>
      </c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>
        <f>CX54+CX55</f>
        <v>0</v>
      </c>
      <c r="CY53" s="90">
        <f>CY54+CY55</f>
        <v>-1199.44</v>
      </c>
    </row>
    <row r="54" spans="1:103" ht="12.75">
      <c r="A54" s="1" t="s">
        <v>29</v>
      </c>
      <c r="B54" s="3" t="s">
        <v>19</v>
      </c>
      <c r="C54" s="9">
        <f>SUM(D54:CT54)</f>
        <v>0</v>
      </c>
      <c r="D54" s="9">
        <f>SUM(E54:CW54)</f>
        <v>0</v>
      </c>
      <c r="E54" s="13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22"/>
      <c r="W54" s="22"/>
      <c r="X54" s="22"/>
      <c r="Y54" s="22"/>
      <c r="Z54" s="22"/>
      <c r="AA54" s="22"/>
      <c r="AB54" s="22"/>
      <c r="AC54" s="22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</row>
    <row r="55" spans="1:103" ht="12.75">
      <c r="A55" s="1" t="s">
        <v>30</v>
      </c>
      <c r="B55" s="3" t="s">
        <v>20</v>
      </c>
      <c r="C55" s="13">
        <f>D55</f>
        <v>-30</v>
      </c>
      <c r="D55" s="13">
        <f>SUM(D56:D58)</f>
        <v>-30</v>
      </c>
      <c r="E55" s="13">
        <f aca="true" t="shared" si="30" ref="E55:AE55">SUM(E56:E58)</f>
        <v>0</v>
      </c>
      <c r="F55" s="13">
        <f>SUM(F56:F58)</f>
        <v>0</v>
      </c>
      <c r="G55" s="13">
        <f t="shared" si="30"/>
        <v>0</v>
      </c>
      <c r="H55" s="13">
        <f t="shared" si="30"/>
        <v>0</v>
      </c>
      <c r="I55" s="13">
        <f t="shared" si="30"/>
        <v>0</v>
      </c>
      <c r="J55" s="13">
        <f t="shared" si="30"/>
        <v>0</v>
      </c>
      <c r="K55" s="13">
        <f t="shared" si="30"/>
        <v>0</v>
      </c>
      <c r="L55" s="13">
        <f t="shared" si="30"/>
        <v>0</v>
      </c>
      <c r="M55" s="13">
        <f t="shared" si="30"/>
        <v>0</v>
      </c>
      <c r="N55" s="13">
        <f t="shared" si="30"/>
        <v>0</v>
      </c>
      <c r="O55" s="13">
        <f t="shared" si="30"/>
        <v>0</v>
      </c>
      <c r="P55" s="13">
        <f t="shared" si="30"/>
        <v>0</v>
      </c>
      <c r="Q55" s="13">
        <f t="shared" si="30"/>
        <v>0</v>
      </c>
      <c r="R55" s="13">
        <f t="shared" si="30"/>
        <v>0</v>
      </c>
      <c r="S55" s="13">
        <f t="shared" si="30"/>
        <v>0</v>
      </c>
      <c r="T55" s="13">
        <f t="shared" si="30"/>
        <v>0</v>
      </c>
      <c r="U55" s="13">
        <f t="shared" si="30"/>
        <v>0</v>
      </c>
      <c r="V55" s="13">
        <f>SUM(V56:V58)</f>
        <v>0</v>
      </c>
      <c r="W55" s="13">
        <f t="shared" si="30"/>
        <v>0</v>
      </c>
      <c r="X55" s="13">
        <f t="shared" si="30"/>
        <v>0</v>
      </c>
      <c r="Y55" s="13"/>
      <c r="Z55" s="13"/>
      <c r="AA55" s="13">
        <f t="shared" si="30"/>
        <v>0</v>
      </c>
      <c r="AB55" s="13">
        <f t="shared" si="30"/>
        <v>0</v>
      </c>
      <c r="AC55" s="13">
        <f t="shared" si="30"/>
        <v>0</v>
      </c>
      <c r="AD55" s="13">
        <f t="shared" si="30"/>
        <v>0</v>
      </c>
      <c r="AE55" s="13">
        <f t="shared" si="30"/>
        <v>0</v>
      </c>
      <c r="AF55" s="13">
        <f aca="true" t="shared" si="31" ref="AF55:BK55">SUM(AF56:AF58)</f>
        <v>0</v>
      </c>
      <c r="AG55" s="13">
        <f t="shared" si="31"/>
        <v>0</v>
      </c>
      <c r="AH55" s="13">
        <f t="shared" si="31"/>
        <v>0</v>
      </c>
      <c r="AI55" s="13">
        <f t="shared" si="31"/>
        <v>0</v>
      </c>
      <c r="AJ55" s="13">
        <f t="shared" si="31"/>
        <v>0</v>
      </c>
      <c r="AK55" s="13">
        <f t="shared" si="31"/>
        <v>0</v>
      </c>
      <c r="AL55" s="13">
        <f t="shared" si="31"/>
        <v>0</v>
      </c>
      <c r="AM55" s="13">
        <f t="shared" si="31"/>
        <v>0</v>
      </c>
      <c r="AN55" s="13">
        <f t="shared" si="31"/>
        <v>0</v>
      </c>
      <c r="AO55" s="13">
        <f t="shared" si="31"/>
        <v>0</v>
      </c>
      <c r="AP55" s="13">
        <f t="shared" si="31"/>
        <v>0</v>
      </c>
      <c r="AQ55" s="13">
        <f t="shared" si="31"/>
        <v>0</v>
      </c>
      <c r="AR55" s="13">
        <f t="shared" si="31"/>
        <v>0.44</v>
      </c>
      <c r="AS55" s="13">
        <f t="shared" si="31"/>
        <v>0</v>
      </c>
      <c r="AT55" s="13">
        <f t="shared" si="31"/>
        <v>0</v>
      </c>
      <c r="AU55" s="13">
        <f t="shared" si="31"/>
        <v>0</v>
      </c>
      <c r="AV55" s="13">
        <f t="shared" si="31"/>
        <v>0</v>
      </c>
      <c r="AW55" s="13">
        <f t="shared" si="31"/>
        <v>0</v>
      </c>
      <c r="AX55" s="13">
        <f t="shared" si="31"/>
        <v>0</v>
      </c>
      <c r="AY55" s="13">
        <f t="shared" si="31"/>
        <v>0</v>
      </c>
      <c r="AZ55" s="13">
        <f t="shared" si="31"/>
        <v>0</v>
      </c>
      <c r="BA55" s="13">
        <f t="shared" si="31"/>
        <v>0</v>
      </c>
      <c r="BB55" s="13">
        <f t="shared" si="31"/>
        <v>0</v>
      </c>
      <c r="BC55" s="13">
        <f t="shared" si="31"/>
        <v>0</v>
      </c>
      <c r="BD55" s="13">
        <f t="shared" si="31"/>
        <v>0</v>
      </c>
      <c r="BE55" s="13">
        <f t="shared" si="31"/>
        <v>0</v>
      </c>
      <c r="BF55" s="13">
        <f t="shared" si="31"/>
        <v>0</v>
      </c>
      <c r="BG55" s="13">
        <f t="shared" si="31"/>
        <v>0</v>
      </c>
      <c r="BH55" s="13">
        <f t="shared" si="31"/>
        <v>0</v>
      </c>
      <c r="BI55" s="13">
        <f t="shared" si="31"/>
        <v>0</v>
      </c>
      <c r="BJ55" s="13">
        <f t="shared" si="31"/>
        <v>0</v>
      </c>
      <c r="BK55" s="13">
        <f t="shared" si="31"/>
        <v>0</v>
      </c>
      <c r="BL55" s="13">
        <f aca="true" t="shared" si="32" ref="BL55:CQ55">SUM(BL56:BL58)</f>
        <v>0</v>
      </c>
      <c r="BM55" s="13">
        <f t="shared" si="32"/>
        <v>0</v>
      </c>
      <c r="BN55" s="13">
        <f t="shared" si="32"/>
        <v>0</v>
      </c>
      <c r="BO55" s="13">
        <f t="shared" si="32"/>
        <v>0</v>
      </c>
      <c r="BP55" s="13">
        <f t="shared" si="32"/>
        <v>0</v>
      </c>
      <c r="BQ55" s="13">
        <f t="shared" si="32"/>
        <v>0</v>
      </c>
      <c r="BR55" s="13">
        <f t="shared" si="32"/>
        <v>0</v>
      </c>
      <c r="BS55" s="13">
        <f t="shared" si="32"/>
        <v>0</v>
      </c>
      <c r="BT55" s="13">
        <f t="shared" si="32"/>
        <v>0</v>
      </c>
      <c r="BU55" s="13">
        <f t="shared" si="32"/>
        <v>0</v>
      </c>
      <c r="BV55" s="13">
        <f t="shared" si="32"/>
        <v>0</v>
      </c>
      <c r="BW55" s="13">
        <f t="shared" si="32"/>
        <v>0</v>
      </c>
      <c r="BX55" s="13">
        <f t="shared" si="32"/>
        <v>0</v>
      </c>
      <c r="BY55" s="13">
        <f t="shared" si="32"/>
        <v>0</v>
      </c>
      <c r="BZ55" s="13">
        <f t="shared" si="32"/>
        <v>0</v>
      </c>
      <c r="CA55" s="13">
        <f t="shared" si="32"/>
        <v>0</v>
      </c>
      <c r="CB55" s="13">
        <f t="shared" si="32"/>
        <v>0</v>
      </c>
      <c r="CC55" s="13">
        <f t="shared" si="32"/>
        <v>0</v>
      </c>
      <c r="CD55" s="13">
        <f t="shared" si="32"/>
        <v>0</v>
      </c>
      <c r="CE55" s="13">
        <f t="shared" si="32"/>
        <v>0</v>
      </c>
      <c r="CF55" s="13">
        <f t="shared" si="32"/>
        <v>0</v>
      </c>
      <c r="CG55" s="13">
        <f t="shared" si="32"/>
        <v>0</v>
      </c>
      <c r="CH55" s="13">
        <f t="shared" si="32"/>
        <v>0</v>
      </c>
      <c r="CI55" s="13">
        <f t="shared" si="32"/>
        <v>0</v>
      </c>
      <c r="CJ55" s="13">
        <f t="shared" si="32"/>
        <v>0</v>
      </c>
      <c r="CK55" s="13">
        <f t="shared" si="32"/>
        <v>0</v>
      </c>
      <c r="CL55" s="13">
        <f t="shared" si="32"/>
        <v>0</v>
      </c>
      <c r="CM55" s="13">
        <f t="shared" si="32"/>
        <v>0</v>
      </c>
      <c r="CN55" s="13">
        <f t="shared" si="32"/>
        <v>0</v>
      </c>
      <c r="CO55" s="13">
        <f t="shared" si="32"/>
        <v>0</v>
      </c>
      <c r="CP55" s="13">
        <f t="shared" si="32"/>
        <v>0</v>
      </c>
      <c r="CQ55" s="13">
        <f t="shared" si="32"/>
        <v>0</v>
      </c>
      <c r="CR55" s="13">
        <f>SUM(CR56:CR58)</f>
        <v>0</v>
      </c>
      <c r="CS55" s="13">
        <f>SUM(CS56:CS58)</f>
        <v>0</v>
      </c>
      <c r="CT55" s="13">
        <f>SUM(CT56:CT58)</f>
        <v>0</v>
      </c>
      <c r="CU55" s="13">
        <f>SUM(CU56:CU58)</f>
        <v>564.102476</v>
      </c>
      <c r="CV55" s="13">
        <f>SUM(CV56:CV58)</f>
        <v>500.897524</v>
      </c>
      <c r="CW55" s="13">
        <f>SUM(CW56:CW58)</f>
        <v>104</v>
      </c>
      <c r="CX55" s="13">
        <f>SUM(CX56:CX58)</f>
        <v>0</v>
      </c>
      <c r="CY55" s="19">
        <f>CY56+CY57+CY58</f>
        <v>-1199.44</v>
      </c>
    </row>
    <row r="56" spans="1:103" s="45" customFormat="1" ht="25.5">
      <c r="A56" s="43"/>
      <c r="B56" s="51" t="s">
        <v>45</v>
      </c>
      <c r="C56" s="7">
        <f>D56</f>
        <v>1169</v>
      </c>
      <c r="D56" s="9">
        <f>SUM(E56:CY56)</f>
        <v>1169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>
        <f>'[4]PL3'!$K$109/1000000</f>
        <v>564.102476</v>
      </c>
      <c r="CV56" s="44">
        <f>'[4]PL3'!$K$110/1000000</f>
        <v>500.897524</v>
      </c>
      <c r="CW56" s="44">
        <f>'[4]PL3'!$K$111/1000000</f>
        <v>104</v>
      </c>
      <c r="CX56" s="44"/>
      <c r="CY56" s="44"/>
    </row>
    <row r="57" spans="1:103" s="8" customFormat="1" ht="12.75" hidden="1">
      <c r="A57" s="33"/>
      <c r="B57" s="36" t="s">
        <v>46</v>
      </c>
      <c r="C57" s="7">
        <f>D57</f>
        <v>0</v>
      </c>
      <c r="D57" s="9">
        <f>SUM(E57:CY57)</f>
        <v>0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7"/>
      <c r="T57" s="7"/>
      <c r="U57" s="7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19"/>
    </row>
    <row r="58" spans="1:103" s="49" customFormat="1" ht="12.75">
      <c r="A58" s="47"/>
      <c r="B58" s="34" t="str">
        <f>B52</f>
        <v> - Kinh phí không thường xuyên</v>
      </c>
      <c r="C58" s="9">
        <f>D58</f>
        <v>-1199</v>
      </c>
      <c r="D58" s="9">
        <f>SUM(E58:CY58)</f>
        <v>-1199</v>
      </c>
      <c r="E58" s="9"/>
      <c r="F58" s="7"/>
      <c r="G58" s="7"/>
      <c r="H58" s="9"/>
      <c r="I58" s="9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9"/>
      <c r="W58" s="9"/>
      <c r="X58" s="9"/>
      <c r="Y58" s="9"/>
      <c r="Z58" s="9"/>
      <c r="AA58" s="31"/>
      <c r="AB58" s="31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>
        <f>0.44</f>
        <v>0.44</v>
      </c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>
        <v>-1199.44</v>
      </c>
    </row>
    <row r="59" spans="1:103" ht="12.75">
      <c r="A59" s="11">
        <v>6</v>
      </c>
      <c r="B59" s="2" t="s">
        <v>34</v>
      </c>
      <c r="C59" s="18">
        <f>SUM(C60,C61)</f>
        <v>0</v>
      </c>
      <c r="D59" s="18">
        <f>SUM(D60,D61)</f>
        <v>0</v>
      </c>
      <c r="E59" s="18">
        <f aca="true" t="shared" si="33" ref="E59:AR59">SUM(E60,E61)</f>
        <v>0</v>
      </c>
      <c r="F59" s="18">
        <f t="shared" si="33"/>
        <v>0</v>
      </c>
      <c r="G59" s="18">
        <f t="shared" si="33"/>
        <v>0</v>
      </c>
      <c r="H59" s="18">
        <f t="shared" si="33"/>
        <v>0</v>
      </c>
      <c r="I59" s="18">
        <f t="shared" si="33"/>
        <v>0</v>
      </c>
      <c r="J59" s="18">
        <f t="shared" si="33"/>
        <v>0</v>
      </c>
      <c r="K59" s="18">
        <f t="shared" si="33"/>
        <v>0</v>
      </c>
      <c r="L59" s="18">
        <f t="shared" si="33"/>
        <v>0</v>
      </c>
      <c r="M59" s="18">
        <f t="shared" si="33"/>
        <v>0</v>
      </c>
      <c r="N59" s="18">
        <f t="shared" si="33"/>
        <v>0</v>
      </c>
      <c r="O59" s="18">
        <f t="shared" si="33"/>
        <v>0</v>
      </c>
      <c r="P59" s="18">
        <f t="shared" si="33"/>
        <v>0</v>
      </c>
      <c r="Q59" s="18">
        <f t="shared" si="33"/>
        <v>0</v>
      </c>
      <c r="R59" s="18">
        <f t="shared" si="33"/>
        <v>0</v>
      </c>
      <c r="S59" s="18">
        <f t="shared" si="33"/>
        <v>0</v>
      </c>
      <c r="T59" s="18"/>
      <c r="U59" s="18"/>
      <c r="V59" s="18">
        <f t="shared" si="33"/>
        <v>0</v>
      </c>
      <c r="W59" s="18">
        <f t="shared" si="33"/>
        <v>0</v>
      </c>
      <c r="X59" s="18">
        <f t="shared" si="33"/>
        <v>0</v>
      </c>
      <c r="Y59" s="18">
        <f t="shared" si="33"/>
        <v>0</v>
      </c>
      <c r="Z59" s="18">
        <f t="shared" si="33"/>
        <v>0</v>
      </c>
      <c r="AA59" s="18">
        <f t="shared" si="33"/>
        <v>0</v>
      </c>
      <c r="AB59" s="18">
        <f t="shared" si="33"/>
        <v>0</v>
      </c>
      <c r="AC59" s="18">
        <f t="shared" si="33"/>
        <v>0</v>
      </c>
      <c r="AD59" s="18">
        <f t="shared" si="33"/>
        <v>0</v>
      </c>
      <c r="AE59" s="18">
        <f t="shared" si="33"/>
        <v>0</v>
      </c>
      <c r="AF59" s="18">
        <f t="shared" si="33"/>
        <v>0</v>
      </c>
      <c r="AG59" s="18">
        <f t="shared" si="33"/>
        <v>0</v>
      </c>
      <c r="AH59" s="18">
        <f t="shared" si="33"/>
        <v>0</v>
      </c>
      <c r="AI59" s="18">
        <f t="shared" si="33"/>
        <v>0</v>
      </c>
      <c r="AJ59" s="18">
        <f t="shared" si="33"/>
        <v>0</v>
      </c>
      <c r="AK59" s="18">
        <f t="shared" si="33"/>
        <v>0</v>
      </c>
      <c r="AL59" s="18">
        <f t="shared" si="33"/>
        <v>0</v>
      </c>
      <c r="AM59" s="18">
        <f t="shared" si="33"/>
        <v>0</v>
      </c>
      <c r="AN59" s="18">
        <f t="shared" si="33"/>
        <v>0</v>
      </c>
      <c r="AO59" s="18">
        <f t="shared" si="33"/>
        <v>0</v>
      </c>
      <c r="AP59" s="18">
        <f t="shared" si="33"/>
        <v>0</v>
      </c>
      <c r="AQ59" s="18">
        <f t="shared" si="33"/>
        <v>0</v>
      </c>
      <c r="AR59" s="18">
        <f t="shared" si="33"/>
        <v>0</v>
      </c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</row>
    <row r="60" spans="1:103" ht="12.75">
      <c r="A60" s="1" t="s">
        <v>32</v>
      </c>
      <c r="B60" s="3" t="s">
        <v>19</v>
      </c>
      <c r="C60" s="9">
        <f>SUM(D60:CT60)</f>
        <v>0</v>
      </c>
      <c r="D60" s="9">
        <f>SUM(E60:CT60)</f>
        <v>0</v>
      </c>
      <c r="E60" s="13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22"/>
      <c r="W60" s="22"/>
      <c r="X60" s="22"/>
      <c r="Y60" s="22"/>
      <c r="Z60" s="22"/>
      <c r="AA60" s="22"/>
      <c r="AB60" s="22"/>
      <c r="AC60" s="22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</row>
    <row r="61" spans="1:103" ht="12.75">
      <c r="A61" s="1" t="s">
        <v>33</v>
      </c>
      <c r="B61" s="3" t="s">
        <v>20</v>
      </c>
      <c r="C61" s="13">
        <f aca="true" t="shared" si="34" ref="C61:AK61">SUM(C62:C62)</f>
        <v>0</v>
      </c>
      <c r="D61" s="13">
        <f t="shared" si="34"/>
        <v>0</v>
      </c>
      <c r="E61" s="13">
        <f t="shared" si="34"/>
        <v>0</v>
      </c>
      <c r="F61" s="22">
        <f t="shared" si="34"/>
        <v>0</v>
      </c>
      <c r="G61" s="22">
        <f t="shared" si="34"/>
        <v>0</v>
      </c>
      <c r="H61" s="22">
        <f t="shared" si="34"/>
        <v>0</v>
      </c>
      <c r="I61" s="22">
        <f t="shared" si="34"/>
        <v>0</v>
      </c>
      <c r="J61" s="22">
        <f t="shared" si="34"/>
        <v>0</v>
      </c>
      <c r="K61" s="22">
        <f t="shared" si="34"/>
        <v>0</v>
      </c>
      <c r="L61" s="22">
        <f t="shared" si="34"/>
        <v>0</v>
      </c>
      <c r="M61" s="22">
        <f t="shared" si="34"/>
        <v>0</v>
      </c>
      <c r="N61" s="22">
        <f t="shared" si="34"/>
        <v>0</v>
      </c>
      <c r="O61" s="22">
        <f t="shared" si="34"/>
        <v>0</v>
      </c>
      <c r="P61" s="22">
        <f t="shared" si="34"/>
        <v>0</v>
      </c>
      <c r="Q61" s="22">
        <f t="shared" si="34"/>
        <v>0</v>
      </c>
      <c r="R61" s="22">
        <f t="shared" si="34"/>
        <v>0</v>
      </c>
      <c r="S61" s="22">
        <f t="shared" si="34"/>
        <v>0</v>
      </c>
      <c r="T61" s="22"/>
      <c r="U61" s="22"/>
      <c r="V61" s="22">
        <f t="shared" si="34"/>
        <v>0</v>
      </c>
      <c r="W61" s="22">
        <f t="shared" si="34"/>
        <v>0</v>
      </c>
      <c r="X61" s="22">
        <f t="shared" si="34"/>
        <v>0</v>
      </c>
      <c r="Y61" s="22">
        <f t="shared" si="34"/>
        <v>0</v>
      </c>
      <c r="Z61" s="22">
        <f t="shared" si="34"/>
        <v>0</v>
      </c>
      <c r="AA61" s="22">
        <f t="shared" si="34"/>
        <v>0</v>
      </c>
      <c r="AB61" s="22">
        <f t="shared" si="34"/>
        <v>0</v>
      </c>
      <c r="AC61" s="22">
        <f t="shared" si="34"/>
        <v>0</v>
      </c>
      <c r="AD61" s="22">
        <f t="shared" si="34"/>
        <v>0</v>
      </c>
      <c r="AE61" s="22">
        <f t="shared" si="34"/>
        <v>0</v>
      </c>
      <c r="AF61" s="22">
        <f t="shared" si="34"/>
        <v>0</v>
      </c>
      <c r="AG61" s="22">
        <f t="shared" si="34"/>
        <v>0</v>
      </c>
      <c r="AH61" s="22">
        <f t="shared" si="34"/>
        <v>0</v>
      </c>
      <c r="AI61" s="22">
        <f t="shared" si="34"/>
        <v>0</v>
      </c>
      <c r="AJ61" s="22">
        <f t="shared" si="34"/>
        <v>0</v>
      </c>
      <c r="AK61" s="22">
        <f t="shared" si="34"/>
        <v>0</v>
      </c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</row>
    <row r="62" spans="1:103" ht="12.75">
      <c r="A62" s="1"/>
      <c r="B62" s="34" t="str">
        <f>B58</f>
        <v> - Kinh phí không thường xuyên</v>
      </c>
      <c r="C62" s="9">
        <f>D62</f>
        <v>0</v>
      </c>
      <c r="D62" s="9">
        <f>SUM(E62:CT62)</f>
        <v>0</v>
      </c>
      <c r="E62" s="9"/>
      <c r="F62" s="7"/>
      <c r="G62" s="7"/>
      <c r="H62" s="9">
        <f>ROUND('[1]Phân bổ 2022'!I87,0)</f>
        <v>0</v>
      </c>
      <c r="I62" s="9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9"/>
      <c r="W62" s="9"/>
      <c r="X62" s="9"/>
      <c r="Y62" s="9"/>
      <c r="Z62" s="31"/>
      <c r="AA62" s="31"/>
      <c r="AB62" s="31"/>
      <c r="AC62" s="31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</row>
    <row r="63" spans="1:103" ht="12.75">
      <c r="A63" s="11">
        <v>7</v>
      </c>
      <c r="B63" s="2" t="s">
        <v>35</v>
      </c>
      <c r="C63" s="18">
        <f>C64+C67</f>
        <v>935</v>
      </c>
      <c r="D63" s="18">
        <f aca="true" t="shared" si="35" ref="D63:S63">SUM(D64,D67)</f>
        <v>935</v>
      </c>
      <c r="E63" s="18">
        <f t="shared" si="35"/>
        <v>0</v>
      </c>
      <c r="F63" s="18">
        <f t="shared" si="35"/>
        <v>0</v>
      </c>
      <c r="G63" s="18">
        <f t="shared" si="35"/>
        <v>0</v>
      </c>
      <c r="H63" s="18">
        <f t="shared" si="35"/>
        <v>0</v>
      </c>
      <c r="I63" s="18">
        <f t="shared" si="35"/>
        <v>0</v>
      </c>
      <c r="J63" s="18">
        <f t="shared" si="35"/>
        <v>0</v>
      </c>
      <c r="K63" s="18">
        <f t="shared" si="35"/>
        <v>0</v>
      </c>
      <c r="L63" s="18">
        <f t="shared" si="35"/>
        <v>0</v>
      </c>
      <c r="M63" s="18">
        <f t="shared" si="35"/>
        <v>0</v>
      </c>
      <c r="N63" s="18">
        <f t="shared" si="35"/>
        <v>0</v>
      </c>
      <c r="O63" s="18">
        <f t="shared" si="35"/>
        <v>0</v>
      </c>
      <c r="P63" s="18">
        <f t="shared" si="35"/>
        <v>0</v>
      </c>
      <c r="Q63" s="18">
        <f t="shared" si="35"/>
        <v>0</v>
      </c>
      <c r="R63" s="18">
        <f t="shared" si="35"/>
        <v>0</v>
      </c>
      <c r="S63" s="18">
        <f t="shared" si="35"/>
        <v>0</v>
      </c>
      <c r="T63" s="18"/>
      <c r="U63" s="18"/>
      <c r="V63" s="18">
        <f aca="true" t="shared" si="36" ref="V63:AR63">SUM(V64,V67)</f>
        <v>0</v>
      </c>
      <c r="W63" s="18">
        <f t="shared" si="36"/>
        <v>0</v>
      </c>
      <c r="X63" s="18">
        <f t="shared" si="36"/>
        <v>0</v>
      </c>
      <c r="Y63" s="18">
        <f t="shared" si="36"/>
        <v>0</v>
      </c>
      <c r="Z63" s="18">
        <f t="shared" si="36"/>
        <v>0</v>
      </c>
      <c r="AA63" s="18">
        <f t="shared" si="36"/>
        <v>0</v>
      </c>
      <c r="AB63" s="18">
        <f t="shared" si="36"/>
        <v>0</v>
      </c>
      <c r="AC63" s="18">
        <f t="shared" si="36"/>
        <v>0</v>
      </c>
      <c r="AD63" s="18">
        <f t="shared" si="36"/>
        <v>0</v>
      </c>
      <c r="AE63" s="18">
        <f t="shared" si="36"/>
        <v>0</v>
      </c>
      <c r="AF63" s="18">
        <f t="shared" si="36"/>
        <v>0</v>
      </c>
      <c r="AG63" s="18">
        <f t="shared" si="36"/>
        <v>0</v>
      </c>
      <c r="AH63" s="18">
        <f t="shared" si="36"/>
        <v>0</v>
      </c>
      <c r="AI63" s="18">
        <f t="shared" si="36"/>
        <v>80</v>
      </c>
      <c r="AJ63" s="18">
        <f t="shared" si="36"/>
        <v>0</v>
      </c>
      <c r="AK63" s="18">
        <f t="shared" si="36"/>
        <v>0</v>
      </c>
      <c r="AL63" s="18">
        <f t="shared" si="36"/>
        <v>0</v>
      </c>
      <c r="AM63" s="18">
        <f t="shared" si="36"/>
        <v>0</v>
      </c>
      <c r="AN63" s="18">
        <f t="shared" si="36"/>
        <v>0</v>
      </c>
      <c r="AO63" s="18">
        <f t="shared" si="36"/>
        <v>0</v>
      </c>
      <c r="AP63" s="18">
        <f t="shared" si="36"/>
        <v>0</v>
      </c>
      <c r="AQ63" s="18">
        <f t="shared" si="36"/>
        <v>0</v>
      </c>
      <c r="AR63" s="18">
        <f t="shared" si="36"/>
        <v>0</v>
      </c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</row>
    <row r="64" spans="1:103" ht="12.75">
      <c r="A64" s="1" t="s">
        <v>36</v>
      </c>
      <c r="B64" s="3" t="s">
        <v>19</v>
      </c>
      <c r="C64" s="13">
        <f>SUM(C65,C66)</f>
        <v>0</v>
      </c>
      <c r="D64" s="13">
        <f aca="true" t="shared" si="37" ref="D64:S64">SUM(D65,D66)</f>
        <v>0</v>
      </c>
      <c r="E64" s="13">
        <f t="shared" si="37"/>
        <v>0</v>
      </c>
      <c r="F64" s="22">
        <f t="shared" si="37"/>
        <v>0</v>
      </c>
      <c r="G64" s="22">
        <f t="shared" si="37"/>
        <v>0</v>
      </c>
      <c r="H64" s="22">
        <f t="shared" si="37"/>
        <v>0</v>
      </c>
      <c r="I64" s="22">
        <f t="shared" si="37"/>
        <v>0</v>
      </c>
      <c r="J64" s="22">
        <f t="shared" si="37"/>
        <v>0</v>
      </c>
      <c r="K64" s="22">
        <f t="shared" si="37"/>
        <v>0</v>
      </c>
      <c r="L64" s="22">
        <f t="shared" si="37"/>
        <v>0</v>
      </c>
      <c r="M64" s="22">
        <f t="shared" si="37"/>
        <v>0</v>
      </c>
      <c r="N64" s="22">
        <f t="shared" si="37"/>
        <v>0</v>
      </c>
      <c r="O64" s="22">
        <f t="shared" si="37"/>
        <v>0</v>
      </c>
      <c r="P64" s="22">
        <f t="shared" si="37"/>
        <v>0</v>
      </c>
      <c r="Q64" s="22">
        <f t="shared" si="37"/>
        <v>0</v>
      </c>
      <c r="R64" s="22">
        <f t="shared" si="37"/>
        <v>0</v>
      </c>
      <c r="S64" s="22">
        <f t="shared" si="37"/>
        <v>0</v>
      </c>
      <c r="T64" s="22"/>
      <c r="U64" s="22"/>
      <c r="V64" s="22">
        <f aca="true" t="shared" si="38" ref="V64:AU64">SUM(V65,V66)</f>
        <v>0</v>
      </c>
      <c r="W64" s="22">
        <f t="shared" si="38"/>
        <v>0</v>
      </c>
      <c r="X64" s="22">
        <f t="shared" si="38"/>
        <v>0</v>
      </c>
      <c r="Y64" s="22">
        <f t="shared" si="38"/>
        <v>0</v>
      </c>
      <c r="Z64" s="22">
        <f t="shared" si="38"/>
        <v>0</v>
      </c>
      <c r="AA64" s="22">
        <f t="shared" si="38"/>
        <v>0</v>
      </c>
      <c r="AB64" s="22">
        <f t="shared" si="38"/>
        <v>0</v>
      </c>
      <c r="AC64" s="22">
        <f t="shared" si="38"/>
        <v>0</v>
      </c>
      <c r="AD64" s="22">
        <f t="shared" si="38"/>
        <v>0</v>
      </c>
      <c r="AE64" s="22">
        <f t="shared" si="38"/>
        <v>0</v>
      </c>
      <c r="AF64" s="22">
        <f t="shared" si="38"/>
        <v>0</v>
      </c>
      <c r="AG64" s="22">
        <f t="shared" si="38"/>
        <v>0</v>
      </c>
      <c r="AH64" s="22">
        <f t="shared" si="38"/>
        <v>0</v>
      </c>
      <c r="AI64" s="22">
        <f t="shared" si="38"/>
        <v>0</v>
      </c>
      <c r="AJ64" s="22">
        <f t="shared" si="38"/>
        <v>0</v>
      </c>
      <c r="AK64" s="22">
        <f t="shared" si="38"/>
        <v>0</v>
      </c>
      <c r="AL64" s="22">
        <f t="shared" si="38"/>
        <v>0</v>
      </c>
      <c r="AM64" s="22">
        <f t="shared" si="38"/>
        <v>0</v>
      </c>
      <c r="AN64" s="22">
        <f t="shared" si="38"/>
        <v>0</v>
      </c>
      <c r="AO64" s="22">
        <f t="shared" si="38"/>
        <v>0</v>
      </c>
      <c r="AP64" s="22">
        <f t="shared" si="38"/>
        <v>0</v>
      </c>
      <c r="AQ64" s="22">
        <f t="shared" si="38"/>
        <v>0</v>
      </c>
      <c r="AR64" s="22">
        <f t="shared" si="38"/>
        <v>0</v>
      </c>
      <c r="AS64" s="22">
        <f t="shared" si="38"/>
        <v>0</v>
      </c>
      <c r="AT64" s="22">
        <f t="shared" si="38"/>
        <v>0</v>
      </c>
      <c r="AU64" s="22">
        <f t="shared" si="38"/>
        <v>0</v>
      </c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</row>
    <row r="65" spans="1:103" ht="12.75">
      <c r="A65" s="1"/>
      <c r="B65" s="30" t="s">
        <v>1</v>
      </c>
      <c r="C65" s="9">
        <f>D65</f>
        <v>0</v>
      </c>
      <c r="D65" s="9">
        <f>SUM(E65:CT65)</f>
        <v>0</v>
      </c>
      <c r="E65" s="9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9"/>
      <c r="R65" s="9"/>
      <c r="S65" s="7"/>
      <c r="T65" s="7"/>
      <c r="U65" s="7"/>
      <c r="V65" s="31"/>
      <c r="W65" s="31"/>
      <c r="X65" s="31"/>
      <c r="Y65" s="31"/>
      <c r="Z65" s="31"/>
      <c r="AA65" s="31"/>
      <c r="AB65" s="31"/>
      <c r="AC65" s="31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</row>
    <row r="66" spans="1:103" ht="12.75" hidden="1">
      <c r="A66" s="1"/>
      <c r="B66" s="30"/>
      <c r="C66" s="9"/>
      <c r="D66" s="9"/>
      <c r="E66" s="9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9"/>
      <c r="R66" s="9"/>
      <c r="S66" s="7"/>
      <c r="T66" s="7"/>
      <c r="U66" s="7"/>
      <c r="V66" s="31"/>
      <c r="W66" s="31"/>
      <c r="X66" s="31"/>
      <c r="Y66" s="31"/>
      <c r="Z66" s="31"/>
      <c r="AA66" s="31"/>
      <c r="AB66" s="31"/>
      <c r="AC66" s="31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</row>
    <row r="67" spans="1:103" ht="12.75">
      <c r="A67" s="1" t="s">
        <v>37</v>
      </c>
      <c r="B67" s="3" t="s">
        <v>20</v>
      </c>
      <c r="C67" s="13">
        <f aca="true" t="shared" si="39" ref="C67:C72">D67</f>
        <v>935</v>
      </c>
      <c r="D67" s="13">
        <f aca="true" t="shared" si="40" ref="D67:AT67">SUM(D68:D71)</f>
        <v>935</v>
      </c>
      <c r="E67" s="13">
        <f t="shared" si="40"/>
        <v>0</v>
      </c>
      <c r="F67" s="22">
        <f t="shared" si="40"/>
        <v>0</v>
      </c>
      <c r="G67" s="22">
        <f>SUM(G68:G71)</f>
        <v>0</v>
      </c>
      <c r="H67" s="22">
        <f t="shared" si="40"/>
        <v>0</v>
      </c>
      <c r="I67" s="22">
        <f t="shared" si="40"/>
        <v>0</v>
      </c>
      <c r="J67" s="22">
        <f t="shared" si="40"/>
        <v>0</v>
      </c>
      <c r="K67" s="22">
        <f t="shared" si="40"/>
        <v>0</v>
      </c>
      <c r="L67" s="22">
        <f t="shared" si="40"/>
        <v>0</v>
      </c>
      <c r="M67" s="22">
        <f t="shared" si="40"/>
        <v>0</v>
      </c>
      <c r="N67" s="22">
        <f t="shared" si="40"/>
        <v>0</v>
      </c>
      <c r="O67" s="22">
        <f t="shared" si="40"/>
        <v>0</v>
      </c>
      <c r="P67" s="7"/>
      <c r="Q67" s="22">
        <f t="shared" si="40"/>
        <v>0</v>
      </c>
      <c r="R67" s="22">
        <f t="shared" si="40"/>
        <v>0</v>
      </c>
      <c r="S67" s="22">
        <f t="shared" si="40"/>
        <v>0</v>
      </c>
      <c r="T67" s="22"/>
      <c r="U67" s="22"/>
      <c r="V67" s="22">
        <f t="shared" si="40"/>
        <v>0</v>
      </c>
      <c r="W67" s="22">
        <f t="shared" si="40"/>
        <v>0</v>
      </c>
      <c r="X67" s="22">
        <f t="shared" si="40"/>
        <v>0</v>
      </c>
      <c r="Y67" s="22">
        <f t="shared" si="40"/>
        <v>0</v>
      </c>
      <c r="Z67" s="22">
        <f t="shared" si="40"/>
        <v>0</v>
      </c>
      <c r="AA67" s="22">
        <f t="shared" si="40"/>
        <v>0</v>
      </c>
      <c r="AB67" s="22">
        <f t="shared" si="40"/>
        <v>0</v>
      </c>
      <c r="AC67" s="22">
        <f t="shared" si="40"/>
        <v>0</v>
      </c>
      <c r="AD67" s="22">
        <f t="shared" si="40"/>
        <v>0</v>
      </c>
      <c r="AE67" s="22">
        <f t="shared" si="40"/>
        <v>0</v>
      </c>
      <c r="AF67" s="22">
        <f t="shared" si="40"/>
        <v>0</v>
      </c>
      <c r="AG67" s="22">
        <f t="shared" si="40"/>
        <v>0</v>
      </c>
      <c r="AH67" s="22">
        <f t="shared" si="40"/>
        <v>0</v>
      </c>
      <c r="AI67" s="22">
        <f t="shared" si="40"/>
        <v>80</v>
      </c>
      <c r="AJ67" s="22">
        <f t="shared" si="40"/>
        <v>0</v>
      </c>
      <c r="AK67" s="22">
        <f t="shared" si="40"/>
        <v>0</v>
      </c>
      <c r="AL67" s="22">
        <f t="shared" si="40"/>
        <v>0</v>
      </c>
      <c r="AM67" s="22">
        <f t="shared" si="40"/>
        <v>0</v>
      </c>
      <c r="AN67" s="22">
        <f t="shared" si="40"/>
        <v>0</v>
      </c>
      <c r="AO67" s="22">
        <f t="shared" si="40"/>
        <v>0</v>
      </c>
      <c r="AP67" s="22">
        <f t="shared" si="40"/>
        <v>0</v>
      </c>
      <c r="AQ67" s="22">
        <f t="shared" si="40"/>
        <v>0</v>
      </c>
      <c r="AR67" s="22">
        <f t="shared" si="40"/>
        <v>0</v>
      </c>
      <c r="AS67" s="22">
        <f t="shared" si="40"/>
        <v>0</v>
      </c>
      <c r="AT67" s="22">
        <f t="shared" si="40"/>
        <v>0</v>
      </c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</row>
    <row r="68" spans="1:103" s="15" customFormat="1" ht="12.75">
      <c r="A68" s="20"/>
      <c r="B68" s="30" t="str">
        <f>B62</f>
        <v> - Kinh phí không thường xuyên</v>
      </c>
      <c r="C68" s="9">
        <f>D68</f>
        <v>80</v>
      </c>
      <c r="D68" s="9">
        <f>SUM(E68:CT68)</f>
        <v>80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7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>
        <f>ROUND('[6]khoi phuong'!F89,0)</f>
        <v>0</v>
      </c>
      <c r="AD68" s="9"/>
      <c r="AE68" s="9"/>
      <c r="AF68" s="9"/>
      <c r="AG68" s="9"/>
      <c r="AH68" s="9"/>
      <c r="AI68" s="9">
        <f>80</f>
        <v>80</v>
      </c>
      <c r="AJ68" s="9"/>
      <c r="AK68" s="9"/>
      <c r="AL68" s="9"/>
      <c r="AM68" s="9"/>
      <c r="AN68" s="9"/>
      <c r="AO68" s="9"/>
      <c r="AP68" s="9"/>
      <c r="AQ68" s="9"/>
      <c r="AR68" s="9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5"/>
      <c r="BU68" s="95"/>
      <c r="BV68" s="95"/>
      <c r="BW68" s="95"/>
      <c r="BX68" s="95"/>
      <c r="BY68" s="95"/>
      <c r="BZ68" s="95"/>
      <c r="CA68" s="95"/>
      <c r="CB68" s="95"/>
      <c r="CC68" s="95"/>
      <c r="CD68" s="95"/>
      <c r="CE68" s="95"/>
      <c r="CF68" s="95"/>
      <c r="CG68" s="95"/>
      <c r="CH68" s="95"/>
      <c r="CI68" s="95"/>
      <c r="CJ68" s="95"/>
      <c r="CK68" s="95"/>
      <c r="CL68" s="95"/>
      <c r="CM68" s="95"/>
      <c r="CN68" s="95"/>
      <c r="CO68" s="95"/>
      <c r="CP68" s="95"/>
      <c r="CQ68" s="95"/>
      <c r="CR68" s="95"/>
      <c r="CS68" s="95"/>
      <c r="CT68" s="95"/>
      <c r="CU68" s="95"/>
      <c r="CV68" s="95"/>
      <c r="CW68" s="95"/>
      <c r="CX68" s="95"/>
      <c r="CY68" s="95"/>
    </row>
    <row r="69" spans="1:103" s="32" customFormat="1" ht="25.5">
      <c r="A69" s="29"/>
      <c r="B69" s="96" t="s">
        <v>2</v>
      </c>
      <c r="C69" s="9">
        <f>D69</f>
        <v>0</v>
      </c>
      <c r="D69" s="9">
        <f>SUM(E69:CT69)</f>
        <v>0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7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  <c r="BZ69" s="91"/>
      <c r="CA69" s="91"/>
      <c r="CB69" s="91"/>
      <c r="CC69" s="91"/>
      <c r="CD69" s="91"/>
      <c r="CE69" s="91"/>
      <c r="CF69" s="91"/>
      <c r="CG69" s="91"/>
      <c r="CH69" s="91"/>
      <c r="CI69" s="91"/>
      <c r="CJ69" s="91"/>
      <c r="CK69" s="91"/>
      <c r="CL69" s="91"/>
      <c r="CM69" s="91"/>
      <c r="CN69" s="91"/>
      <c r="CO69" s="91"/>
      <c r="CP69" s="91"/>
      <c r="CQ69" s="91"/>
      <c r="CR69" s="91"/>
      <c r="CS69" s="91"/>
      <c r="CT69" s="91"/>
      <c r="CU69" s="91"/>
      <c r="CV69" s="91"/>
      <c r="CW69" s="91"/>
      <c r="CX69" s="91"/>
      <c r="CY69" s="91"/>
    </row>
    <row r="70" spans="1:103" s="38" customFormat="1" ht="25.5">
      <c r="A70" s="35"/>
      <c r="B70" s="51" t="s">
        <v>45</v>
      </c>
      <c r="C70" s="9">
        <f>D70</f>
        <v>855</v>
      </c>
      <c r="D70" s="9">
        <f>SUM(E70:CY70)</f>
        <v>855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>
        <f>ROUND('[7]Phân bổ 2022'!S98,0)</f>
        <v>0</v>
      </c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93"/>
      <c r="BS70" s="93"/>
      <c r="BT70" s="93"/>
      <c r="BU70" s="93"/>
      <c r="BV70" s="93"/>
      <c r="BW70" s="93"/>
      <c r="BX70" s="93"/>
      <c r="BY70" s="93"/>
      <c r="BZ70" s="93"/>
      <c r="CA70" s="93"/>
      <c r="CB70" s="93"/>
      <c r="CC70" s="93"/>
      <c r="CD70" s="93"/>
      <c r="CE70" s="93"/>
      <c r="CF70" s="93"/>
      <c r="CG70" s="93"/>
      <c r="CH70" s="93"/>
      <c r="CI70" s="93"/>
      <c r="CJ70" s="93"/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3"/>
      <c r="CW70" s="93"/>
      <c r="CX70" s="93">
        <f>855</f>
        <v>855</v>
      </c>
      <c r="CY70" s="93"/>
    </row>
    <row r="71" spans="1:103" s="8" customFormat="1" ht="12.75" hidden="1">
      <c r="A71" s="33"/>
      <c r="B71" s="36" t="s">
        <v>46</v>
      </c>
      <c r="C71" s="7">
        <f t="shared" si="39"/>
        <v>0</v>
      </c>
      <c r="D71" s="7">
        <f>SUM(E71:CT71)</f>
        <v>0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37"/>
      <c r="AC71" s="37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92"/>
      <c r="CH71" s="92"/>
      <c r="CI71" s="92"/>
      <c r="CJ71" s="92"/>
      <c r="CK71" s="92"/>
      <c r="CL71" s="92"/>
      <c r="CM71" s="92"/>
      <c r="CN71" s="92"/>
      <c r="CO71" s="92"/>
      <c r="CP71" s="92"/>
      <c r="CQ71" s="92"/>
      <c r="CR71" s="92"/>
      <c r="CS71" s="92"/>
      <c r="CT71" s="92"/>
      <c r="CU71" s="92"/>
      <c r="CV71" s="92"/>
      <c r="CW71" s="92"/>
      <c r="CX71" s="92"/>
      <c r="CY71" s="92"/>
    </row>
    <row r="72" spans="1:103" ht="12.75">
      <c r="A72" s="11">
        <v>8</v>
      </c>
      <c r="B72" s="2" t="s">
        <v>40</v>
      </c>
      <c r="C72" s="18">
        <f t="shared" si="39"/>
        <v>0</v>
      </c>
      <c r="D72" s="18">
        <f>SUM(D73,D74)</f>
        <v>0</v>
      </c>
      <c r="E72" s="18">
        <f aca="true" t="shared" si="41" ref="E72:AR72">SUM(E73,E74)</f>
        <v>0</v>
      </c>
      <c r="F72" s="18">
        <f t="shared" si="41"/>
        <v>0</v>
      </c>
      <c r="G72" s="18">
        <f t="shared" si="41"/>
        <v>0</v>
      </c>
      <c r="H72" s="18">
        <f t="shared" si="41"/>
        <v>0</v>
      </c>
      <c r="I72" s="18">
        <f t="shared" si="41"/>
        <v>0</v>
      </c>
      <c r="J72" s="18">
        <f t="shared" si="41"/>
        <v>0</v>
      </c>
      <c r="K72" s="18">
        <f t="shared" si="41"/>
        <v>0</v>
      </c>
      <c r="L72" s="18">
        <f t="shared" si="41"/>
        <v>0</v>
      </c>
      <c r="M72" s="18">
        <f t="shared" si="41"/>
        <v>0</v>
      </c>
      <c r="N72" s="18">
        <f t="shared" si="41"/>
        <v>0</v>
      </c>
      <c r="O72" s="18">
        <f t="shared" si="41"/>
        <v>0</v>
      </c>
      <c r="P72" s="18">
        <f t="shared" si="41"/>
        <v>0</v>
      </c>
      <c r="Q72" s="18">
        <f t="shared" si="41"/>
        <v>0</v>
      </c>
      <c r="R72" s="18">
        <f t="shared" si="41"/>
        <v>0</v>
      </c>
      <c r="S72" s="18">
        <f t="shared" si="41"/>
        <v>0</v>
      </c>
      <c r="T72" s="18"/>
      <c r="U72" s="18"/>
      <c r="V72" s="18">
        <f t="shared" si="41"/>
        <v>0</v>
      </c>
      <c r="W72" s="18">
        <f t="shared" si="41"/>
        <v>0</v>
      </c>
      <c r="X72" s="18">
        <f t="shared" si="41"/>
        <v>0</v>
      </c>
      <c r="Y72" s="18">
        <f t="shared" si="41"/>
        <v>0</v>
      </c>
      <c r="Z72" s="18">
        <f t="shared" si="41"/>
        <v>0</v>
      </c>
      <c r="AA72" s="18">
        <f t="shared" si="41"/>
        <v>0</v>
      </c>
      <c r="AB72" s="18">
        <f t="shared" si="41"/>
        <v>0</v>
      </c>
      <c r="AC72" s="18">
        <f t="shared" si="41"/>
        <v>0</v>
      </c>
      <c r="AD72" s="18">
        <f t="shared" si="41"/>
        <v>0</v>
      </c>
      <c r="AE72" s="18">
        <f t="shared" si="41"/>
        <v>0</v>
      </c>
      <c r="AF72" s="18">
        <f t="shared" si="41"/>
        <v>0</v>
      </c>
      <c r="AG72" s="18">
        <f t="shared" si="41"/>
        <v>0</v>
      </c>
      <c r="AH72" s="18">
        <f t="shared" si="41"/>
        <v>0</v>
      </c>
      <c r="AI72" s="18">
        <f t="shared" si="41"/>
        <v>0</v>
      </c>
      <c r="AJ72" s="18">
        <f t="shared" si="41"/>
        <v>0</v>
      </c>
      <c r="AK72" s="18">
        <f t="shared" si="41"/>
        <v>0</v>
      </c>
      <c r="AL72" s="18">
        <f t="shared" si="41"/>
        <v>0</v>
      </c>
      <c r="AM72" s="18">
        <f t="shared" si="41"/>
        <v>0</v>
      </c>
      <c r="AN72" s="18">
        <f t="shared" si="41"/>
        <v>0</v>
      </c>
      <c r="AO72" s="18">
        <f t="shared" si="41"/>
        <v>0</v>
      </c>
      <c r="AP72" s="18">
        <f t="shared" si="41"/>
        <v>0</v>
      </c>
      <c r="AQ72" s="18">
        <f t="shared" si="41"/>
        <v>0</v>
      </c>
      <c r="AR72" s="18">
        <f t="shared" si="41"/>
        <v>0</v>
      </c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</row>
    <row r="73" spans="1:103" ht="12.75">
      <c r="A73" s="1" t="s">
        <v>38</v>
      </c>
      <c r="B73" s="3" t="s">
        <v>19</v>
      </c>
      <c r="C73" s="9">
        <f>SUM(D73:AB73)</f>
        <v>0</v>
      </c>
      <c r="D73" s="9">
        <f>SUM(E73:AC73)</f>
        <v>0</v>
      </c>
      <c r="E73" s="13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22"/>
      <c r="W73" s="22"/>
      <c r="X73" s="22"/>
      <c r="Y73" s="22"/>
      <c r="Z73" s="22"/>
      <c r="AA73" s="22"/>
      <c r="AB73" s="22"/>
      <c r="AC73" s="22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</row>
    <row r="74" spans="1:103" ht="12.75">
      <c r="A74" s="1" t="s">
        <v>39</v>
      </c>
      <c r="B74" s="3" t="s">
        <v>20</v>
      </c>
      <c r="C74" s="13">
        <f aca="true" t="shared" si="42" ref="C74:C84">D74</f>
        <v>0</v>
      </c>
      <c r="D74" s="13">
        <f aca="true" t="shared" si="43" ref="D74:AO74">SUM(D75:D75)</f>
        <v>0</v>
      </c>
      <c r="E74" s="13">
        <f t="shared" si="43"/>
        <v>0</v>
      </c>
      <c r="F74" s="22">
        <f t="shared" si="43"/>
        <v>0</v>
      </c>
      <c r="G74" s="22">
        <f t="shared" si="43"/>
        <v>0</v>
      </c>
      <c r="H74" s="22">
        <f t="shared" si="43"/>
        <v>0</v>
      </c>
      <c r="I74" s="22">
        <f t="shared" si="43"/>
        <v>0</v>
      </c>
      <c r="J74" s="22">
        <f t="shared" si="43"/>
        <v>0</v>
      </c>
      <c r="K74" s="22">
        <f t="shared" si="43"/>
        <v>0</v>
      </c>
      <c r="L74" s="22">
        <f t="shared" si="43"/>
        <v>0</v>
      </c>
      <c r="M74" s="22">
        <f t="shared" si="43"/>
        <v>0</v>
      </c>
      <c r="N74" s="22">
        <f t="shared" si="43"/>
        <v>0</v>
      </c>
      <c r="O74" s="22">
        <f t="shared" si="43"/>
        <v>0</v>
      </c>
      <c r="P74" s="22">
        <f t="shared" si="43"/>
        <v>0</v>
      </c>
      <c r="Q74" s="22">
        <f t="shared" si="43"/>
        <v>0</v>
      </c>
      <c r="R74" s="22">
        <f t="shared" si="43"/>
        <v>0</v>
      </c>
      <c r="S74" s="22">
        <f t="shared" si="43"/>
        <v>0</v>
      </c>
      <c r="T74" s="22"/>
      <c r="U74" s="22"/>
      <c r="V74" s="22">
        <f t="shared" si="43"/>
        <v>0</v>
      </c>
      <c r="W74" s="22">
        <f t="shared" si="43"/>
        <v>0</v>
      </c>
      <c r="X74" s="22">
        <f t="shared" si="43"/>
        <v>0</v>
      </c>
      <c r="Y74" s="22">
        <f t="shared" si="43"/>
        <v>0</v>
      </c>
      <c r="Z74" s="22">
        <f t="shared" si="43"/>
        <v>0</v>
      </c>
      <c r="AA74" s="22">
        <f t="shared" si="43"/>
        <v>0</v>
      </c>
      <c r="AB74" s="22">
        <f t="shared" si="43"/>
        <v>0</v>
      </c>
      <c r="AC74" s="22">
        <f t="shared" si="43"/>
        <v>0</v>
      </c>
      <c r="AD74" s="22">
        <f t="shared" si="43"/>
        <v>0</v>
      </c>
      <c r="AE74" s="22">
        <f t="shared" si="43"/>
        <v>0</v>
      </c>
      <c r="AF74" s="22">
        <f t="shared" si="43"/>
        <v>0</v>
      </c>
      <c r="AG74" s="22">
        <f t="shared" si="43"/>
        <v>0</v>
      </c>
      <c r="AH74" s="22">
        <f t="shared" si="43"/>
        <v>0</v>
      </c>
      <c r="AI74" s="22">
        <f t="shared" si="43"/>
        <v>0</v>
      </c>
      <c r="AJ74" s="22">
        <f t="shared" si="43"/>
        <v>0</v>
      </c>
      <c r="AK74" s="22">
        <f t="shared" si="43"/>
        <v>0</v>
      </c>
      <c r="AL74" s="22">
        <f t="shared" si="43"/>
        <v>0</v>
      </c>
      <c r="AM74" s="22">
        <f t="shared" si="43"/>
        <v>0</v>
      </c>
      <c r="AN74" s="22">
        <f t="shared" si="43"/>
        <v>0</v>
      </c>
      <c r="AO74" s="22">
        <f t="shared" si="43"/>
        <v>0</v>
      </c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</row>
    <row r="75" spans="1:103" ht="12.75">
      <c r="A75" s="1"/>
      <c r="B75" s="34" t="str">
        <f>B68</f>
        <v> - Kinh phí không thường xuyên</v>
      </c>
      <c r="C75" s="9">
        <f t="shared" si="42"/>
        <v>0</v>
      </c>
      <c r="D75" s="9">
        <f>SUM(E75:CT75)</f>
        <v>0</v>
      </c>
      <c r="E75" s="9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9"/>
      <c r="R75" s="7"/>
      <c r="S75" s="7"/>
      <c r="T75" s="7"/>
      <c r="U75" s="7"/>
      <c r="V75" s="31"/>
      <c r="W75" s="31"/>
      <c r="X75" s="31"/>
      <c r="Y75" s="31"/>
      <c r="Z75" s="31"/>
      <c r="AA75" s="31"/>
      <c r="AB75" s="31"/>
      <c r="AC75" s="31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</row>
    <row r="76" spans="1:103" ht="12.75">
      <c r="A76" s="11">
        <v>9</v>
      </c>
      <c r="B76" s="2" t="s">
        <v>219</v>
      </c>
      <c r="C76" s="12">
        <f t="shared" si="42"/>
        <v>4647.000000000001</v>
      </c>
      <c r="D76" s="12">
        <f>D77+D80</f>
        <v>4647.000000000001</v>
      </c>
      <c r="E76" s="12">
        <f aca="true" t="shared" si="44" ref="E76:AR76">E77+E80</f>
        <v>0</v>
      </c>
      <c r="F76" s="12">
        <f t="shared" si="44"/>
        <v>0</v>
      </c>
      <c r="G76" s="12">
        <f t="shared" si="44"/>
        <v>0</v>
      </c>
      <c r="H76" s="12">
        <f t="shared" si="44"/>
        <v>0</v>
      </c>
      <c r="I76" s="12">
        <f t="shared" si="44"/>
        <v>0</v>
      </c>
      <c r="J76" s="12">
        <f t="shared" si="44"/>
        <v>0</v>
      </c>
      <c r="K76" s="12">
        <f t="shared" si="44"/>
        <v>0</v>
      </c>
      <c r="L76" s="12">
        <f t="shared" si="44"/>
        <v>0</v>
      </c>
      <c r="M76" s="12">
        <f t="shared" si="44"/>
        <v>0</v>
      </c>
      <c r="N76" s="12">
        <f t="shared" si="44"/>
        <v>0</v>
      </c>
      <c r="O76" s="12">
        <f t="shared" si="44"/>
        <v>0</v>
      </c>
      <c r="P76" s="12">
        <f t="shared" si="44"/>
        <v>0</v>
      </c>
      <c r="Q76" s="12">
        <f t="shared" si="44"/>
        <v>0</v>
      </c>
      <c r="R76" s="12">
        <f t="shared" si="44"/>
        <v>0</v>
      </c>
      <c r="S76" s="12">
        <f t="shared" si="44"/>
        <v>0</v>
      </c>
      <c r="T76" s="12"/>
      <c r="U76" s="12"/>
      <c r="V76" s="12">
        <f t="shared" si="44"/>
        <v>0</v>
      </c>
      <c r="W76" s="12">
        <f t="shared" si="44"/>
        <v>0</v>
      </c>
      <c r="X76" s="12">
        <f t="shared" si="44"/>
        <v>0</v>
      </c>
      <c r="Y76" s="12">
        <f t="shared" si="44"/>
        <v>0</v>
      </c>
      <c r="Z76" s="12">
        <f t="shared" si="44"/>
        <v>0</v>
      </c>
      <c r="AA76" s="12">
        <f t="shared" si="44"/>
        <v>37.5</v>
      </c>
      <c r="AB76" s="12">
        <f t="shared" si="44"/>
        <v>0</v>
      </c>
      <c r="AC76" s="12">
        <f t="shared" si="44"/>
        <v>184.652</v>
      </c>
      <c r="AD76" s="12">
        <f t="shared" si="44"/>
        <v>275.20799999999997</v>
      </c>
      <c r="AE76" s="12">
        <f t="shared" si="44"/>
        <v>261.03</v>
      </c>
      <c r="AF76" s="12">
        <f t="shared" si="44"/>
        <v>311.8</v>
      </c>
      <c r="AG76" s="12">
        <f t="shared" si="44"/>
        <v>606.617</v>
      </c>
      <c r="AH76" s="12">
        <f t="shared" si="44"/>
        <v>358.055</v>
      </c>
      <c r="AI76" s="12">
        <f t="shared" si="44"/>
        <v>396.5</v>
      </c>
      <c r="AJ76" s="12">
        <f t="shared" si="44"/>
        <v>110.03</v>
      </c>
      <c r="AK76" s="12">
        <f t="shared" si="44"/>
        <v>297.375</v>
      </c>
      <c r="AL76" s="12">
        <f t="shared" si="44"/>
        <v>235.375</v>
      </c>
      <c r="AM76" s="12">
        <f t="shared" si="44"/>
        <v>165.03</v>
      </c>
      <c r="AN76" s="12">
        <f t="shared" si="44"/>
        <v>345.38</v>
      </c>
      <c r="AO76" s="12">
        <f t="shared" si="44"/>
        <v>202.03</v>
      </c>
      <c r="AP76" s="12">
        <f t="shared" si="44"/>
        <v>207.375</v>
      </c>
      <c r="AQ76" s="12">
        <f t="shared" si="44"/>
        <v>176.593</v>
      </c>
      <c r="AR76" s="12">
        <f t="shared" si="44"/>
        <v>173.132</v>
      </c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90">
        <f>CY77+CY80</f>
        <v>303.318</v>
      </c>
    </row>
    <row r="77" spans="1:103" ht="12.75">
      <c r="A77" s="1" t="s">
        <v>47</v>
      </c>
      <c r="B77" s="3" t="s">
        <v>19</v>
      </c>
      <c r="C77" s="19">
        <f t="shared" si="42"/>
        <v>0</v>
      </c>
      <c r="D77" s="19">
        <f>D78+D79</f>
        <v>0</v>
      </c>
      <c r="E77" s="19">
        <f aca="true" t="shared" si="45" ref="E77:AR77">E78+E79</f>
        <v>0</v>
      </c>
      <c r="F77" s="19">
        <f t="shared" si="45"/>
        <v>0</v>
      </c>
      <c r="G77" s="19">
        <f t="shared" si="45"/>
        <v>0</v>
      </c>
      <c r="H77" s="19">
        <f t="shared" si="45"/>
        <v>0</v>
      </c>
      <c r="I77" s="19">
        <f t="shared" si="45"/>
        <v>0</v>
      </c>
      <c r="J77" s="19">
        <f t="shared" si="45"/>
        <v>0</v>
      </c>
      <c r="K77" s="19">
        <f t="shared" si="45"/>
        <v>0</v>
      </c>
      <c r="L77" s="19">
        <f t="shared" si="45"/>
        <v>0</v>
      </c>
      <c r="M77" s="19">
        <f t="shared" si="45"/>
        <v>0</v>
      </c>
      <c r="N77" s="19">
        <f t="shared" si="45"/>
        <v>0</v>
      </c>
      <c r="O77" s="19">
        <f t="shared" si="45"/>
        <v>0</v>
      </c>
      <c r="P77" s="19">
        <f t="shared" si="45"/>
        <v>0</v>
      </c>
      <c r="Q77" s="19">
        <f t="shared" si="45"/>
        <v>0</v>
      </c>
      <c r="R77" s="19">
        <f t="shared" si="45"/>
        <v>0</v>
      </c>
      <c r="S77" s="19">
        <f t="shared" si="45"/>
        <v>0</v>
      </c>
      <c r="T77" s="19"/>
      <c r="U77" s="19"/>
      <c r="V77" s="19">
        <f t="shared" si="45"/>
        <v>0</v>
      </c>
      <c r="W77" s="19">
        <f t="shared" si="45"/>
        <v>0</v>
      </c>
      <c r="X77" s="19">
        <f t="shared" si="45"/>
        <v>0</v>
      </c>
      <c r="Y77" s="19">
        <f t="shared" si="45"/>
        <v>0</v>
      </c>
      <c r="Z77" s="19">
        <f t="shared" si="45"/>
        <v>0</v>
      </c>
      <c r="AA77" s="19">
        <f t="shared" si="45"/>
        <v>0</v>
      </c>
      <c r="AB77" s="19">
        <f t="shared" si="45"/>
        <v>0</v>
      </c>
      <c r="AC77" s="19">
        <f t="shared" si="45"/>
        <v>0</v>
      </c>
      <c r="AD77" s="19">
        <f t="shared" si="45"/>
        <v>0</v>
      </c>
      <c r="AE77" s="19">
        <f t="shared" si="45"/>
        <v>0</v>
      </c>
      <c r="AF77" s="19">
        <f t="shared" si="45"/>
        <v>0</v>
      </c>
      <c r="AG77" s="19">
        <f t="shared" si="45"/>
        <v>0</v>
      </c>
      <c r="AH77" s="19">
        <f t="shared" si="45"/>
        <v>0</v>
      </c>
      <c r="AI77" s="19">
        <f t="shared" si="45"/>
        <v>0</v>
      </c>
      <c r="AJ77" s="19">
        <f t="shared" si="45"/>
        <v>0</v>
      </c>
      <c r="AK77" s="19">
        <f t="shared" si="45"/>
        <v>0</v>
      </c>
      <c r="AL77" s="19">
        <f t="shared" si="45"/>
        <v>0</v>
      </c>
      <c r="AM77" s="19">
        <f t="shared" si="45"/>
        <v>0</v>
      </c>
      <c r="AN77" s="19">
        <f t="shared" si="45"/>
        <v>0</v>
      </c>
      <c r="AO77" s="19">
        <f t="shared" si="45"/>
        <v>0</v>
      </c>
      <c r="AP77" s="19">
        <f t="shared" si="45"/>
        <v>0</v>
      </c>
      <c r="AQ77" s="19">
        <f t="shared" si="45"/>
        <v>0</v>
      </c>
      <c r="AR77" s="19">
        <f t="shared" si="45"/>
        <v>0</v>
      </c>
      <c r="AS77" s="13">
        <f>SUM(V78:V79)</f>
        <v>0</v>
      </c>
      <c r="AT77" s="13">
        <f>SUM(W78:W79)</f>
        <v>0</v>
      </c>
      <c r="AU77" s="13">
        <f>SUM(X78:X79)</f>
        <v>0</v>
      </c>
      <c r="AV77" s="13">
        <f>SUM(Y78:Y79)</f>
        <v>0</v>
      </c>
      <c r="AW77" s="13">
        <f>SUM(Z78:Z79)</f>
        <v>0</v>
      </c>
      <c r="AX77" s="13">
        <f aca="true" t="shared" si="46" ref="AX77:CX77">SUM(AA78:AA79)</f>
        <v>0</v>
      </c>
      <c r="AY77" s="13">
        <f t="shared" si="46"/>
        <v>0</v>
      </c>
      <c r="AZ77" s="13">
        <f t="shared" si="46"/>
        <v>0</v>
      </c>
      <c r="BA77" s="13">
        <f t="shared" si="46"/>
        <v>0</v>
      </c>
      <c r="BB77" s="13">
        <f t="shared" si="46"/>
        <v>0</v>
      </c>
      <c r="BC77" s="13">
        <f t="shared" si="46"/>
        <v>0</v>
      </c>
      <c r="BD77" s="13">
        <f t="shared" si="46"/>
        <v>0</v>
      </c>
      <c r="BE77" s="13">
        <f t="shared" si="46"/>
        <v>0</v>
      </c>
      <c r="BF77" s="13">
        <f t="shared" si="46"/>
        <v>0</v>
      </c>
      <c r="BG77" s="13">
        <f t="shared" si="46"/>
        <v>0</v>
      </c>
      <c r="BH77" s="13">
        <f t="shared" si="46"/>
        <v>0</v>
      </c>
      <c r="BI77" s="13">
        <f t="shared" si="46"/>
        <v>0</v>
      </c>
      <c r="BJ77" s="13">
        <f t="shared" si="46"/>
        <v>0</v>
      </c>
      <c r="BK77" s="13">
        <f t="shared" si="46"/>
        <v>0</v>
      </c>
      <c r="BL77" s="13">
        <f t="shared" si="46"/>
        <v>0</v>
      </c>
      <c r="BM77" s="13">
        <f t="shared" si="46"/>
        <v>0</v>
      </c>
      <c r="BN77" s="13">
        <f t="shared" si="46"/>
        <v>0</v>
      </c>
      <c r="BO77" s="13">
        <f t="shared" si="46"/>
        <v>0</v>
      </c>
      <c r="BP77" s="13">
        <f t="shared" si="46"/>
        <v>0</v>
      </c>
      <c r="BQ77" s="13">
        <f t="shared" si="46"/>
        <v>0</v>
      </c>
      <c r="BR77" s="13">
        <f t="shared" si="46"/>
        <v>0</v>
      </c>
      <c r="BS77" s="13">
        <f t="shared" si="46"/>
        <v>0</v>
      </c>
      <c r="BT77" s="13">
        <f t="shared" si="46"/>
        <v>0</v>
      </c>
      <c r="BU77" s="13">
        <f t="shared" si="46"/>
        <v>0</v>
      </c>
      <c r="BV77" s="13">
        <f t="shared" si="46"/>
        <v>0</v>
      </c>
      <c r="BW77" s="13">
        <f t="shared" si="46"/>
        <v>0</v>
      </c>
      <c r="BX77" s="13">
        <f t="shared" si="46"/>
        <v>0</v>
      </c>
      <c r="BY77" s="13">
        <f t="shared" si="46"/>
        <v>0</v>
      </c>
      <c r="BZ77" s="13">
        <f t="shared" si="46"/>
        <v>0</v>
      </c>
      <c r="CA77" s="13">
        <f t="shared" si="46"/>
        <v>0</v>
      </c>
      <c r="CB77" s="13">
        <f t="shared" si="46"/>
        <v>0</v>
      </c>
      <c r="CC77" s="13">
        <f t="shared" si="46"/>
        <v>0</v>
      </c>
      <c r="CD77" s="13">
        <f t="shared" si="46"/>
        <v>0</v>
      </c>
      <c r="CE77" s="13">
        <f t="shared" si="46"/>
        <v>0</v>
      </c>
      <c r="CF77" s="13">
        <f t="shared" si="46"/>
        <v>0</v>
      </c>
      <c r="CG77" s="13">
        <f t="shared" si="46"/>
        <v>0</v>
      </c>
      <c r="CH77" s="13">
        <f t="shared" si="46"/>
        <v>0</v>
      </c>
      <c r="CI77" s="13">
        <f t="shared" si="46"/>
        <v>0</v>
      </c>
      <c r="CJ77" s="13">
        <f t="shared" si="46"/>
        <v>0</v>
      </c>
      <c r="CK77" s="13">
        <f t="shared" si="46"/>
        <v>0</v>
      </c>
      <c r="CL77" s="13">
        <f t="shared" si="46"/>
        <v>0</v>
      </c>
      <c r="CM77" s="13">
        <f t="shared" si="46"/>
        <v>0</v>
      </c>
      <c r="CN77" s="13">
        <f t="shared" si="46"/>
        <v>0</v>
      </c>
      <c r="CO77" s="13">
        <f t="shared" si="46"/>
        <v>0</v>
      </c>
      <c r="CP77" s="13">
        <f t="shared" si="46"/>
        <v>0</v>
      </c>
      <c r="CQ77" s="13">
        <f t="shared" si="46"/>
        <v>0</v>
      </c>
      <c r="CR77" s="13">
        <f t="shared" si="46"/>
        <v>0</v>
      </c>
      <c r="CS77" s="13">
        <f t="shared" si="46"/>
        <v>0</v>
      </c>
      <c r="CT77" s="13">
        <f t="shared" si="46"/>
        <v>0</v>
      </c>
      <c r="CU77" s="13">
        <f t="shared" si="46"/>
        <v>0</v>
      </c>
      <c r="CV77" s="13">
        <f t="shared" si="46"/>
        <v>0</v>
      </c>
      <c r="CW77" s="13">
        <f t="shared" si="46"/>
        <v>0</v>
      </c>
      <c r="CX77" s="13">
        <f t="shared" si="46"/>
        <v>0</v>
      </c>
      <c r="CY77" s="19"/>
    </row>
    <row r="78" spans="1:103" s="15" customFormat="1" ht="12.75" hidden="1">
      <c r="A78" s="20"/>
      <c r="B78" s="30" t="s">
        <v>1</v>
      </c>
      <c r="C78" s="9">
        <f t="shared" si="42"/>
        <v>0</v>
      </c>
      <c r="D78" s="9">
        <f>SUM(E78:CT78)</f>
        <v>0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50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5"/>
    </row>
    <row r="79" spans="1:103" s="15" customFormat="1" ht="25.5" hidden="1">
      <c r="A79" s="20"/>
      <c r="B79" s="96" t="s">
        <v>2</v>
      </c>
      <c r="C79" s="9">
        <f t="shared" si="42"/>
        <v>0</v>
      </c>
      <c r="D79" s="9">
        <f>SUM(E79:CT79)</f>
        <v>0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50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5"/>
    </row>
    <row r="80" spans="1:103" ht="12.75">
      <c r="A80" s="1" t="s">
        <v>48</v>
      </c>
      <c r="B80" s="3" t="s">
        <v>20</v>
      </c>
      <c r="C80" s="13">
        <f t="shared" si="42"/>
        <v>4647.000000000001</v>
      </c>
      <c r="D80" s="13">
        <f>SUM(D81:D83)</f>
        <v>4647.000000000001</v>
      </c>
      <c r="E80" s="13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22"/>
      <c r="W80" s="22"/>
      <c r="X80" s="22"/>
      <c r="Y80" s="22"/>
      <c r="Z80" s="22"/>
      <c r="AA80" s="22">
        <f>AA81</f>
        <v>37.5</v>
      </c>
      <c r="AB80" s="46"/>
      <c r="AC80" s="13">
        <f aca="true" t="shared" si="47" ref="AC80:AR80">SUM(AC81:AC83)</f>
        <v>184.652</v>
      </c>
      <c r="AD80" s="13">
        <f t="shared" si="47"/>
        <v>275.20799999999997</v>
      </c>
      <c r="AE80" s="13">
        <f t="shared" si="47"/>
        <v>261.03</v>
      </c>
      <c r="AF80" s="13">
        <f t="shared" si="47"/>
        <v>311.8</v>
      </c>
      <c r="AG80" s="13">
        <f t="shared" si="47"/>
        <v>606.617</v>
      </c>
      <c r="AH80" s="13">
        <f t="shared" si="47"/>
        <v>358.055</v>
      </c>
      <c r="AI80" s="13">
        <f t="shared" si="47"/>
        <v>396.5</v>
      </c>
      <c r="AJ80" s="13">
        <f t="shared" si="47"/>
        <v>110.03</v>
      </c>
      <c r="AK80" s="13">
        <f t="shared" si="47"/>
        <v>297.375</v>
      </c>
      <c r="AL80" s="13">
        <f t="shared" si="47"/>
        <v>235.375</v>
      </c>
      <c r="AM80" s="13">
        <f t="shared" si="47"/>
        <v>165.03</v>
      </c>
      <c r="AN80" s="13">
        <f t="shared" si="47"/>
        <v>345.38</v>
      </c>
      <c r="AO80" s="13">
        <f t="shared" si="47"/>
        <v>202.03</v>
      </c>
      <c r="AP80" s="13">
        <f t="shared" si="47"/>
        <v>207.375</v>
      </c>
      <c r="AQ80" s="13">
        <f t="shared" si="47"/>
        <v>176.593</v>
      </c>
      <c r="AR80" s="13">
        <f t="shared" si="47"/>
        <v>173.132</v>
      </c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>
        <f>CY81</f>
        <v>303.318</v>
      </c>
    </row>
    <row r="81" spans="1:103" s="49" customFormat="1" ht="12.75">
      <c r="A81" s="47"/>
      <c r="B81" s="34" t="str">
        <f>B75</f>
        <v> - Kinh phí không thường xuyên</v>
      </c>
      <c r="C81" s="9">
        <f t="shared" si="42"/>
        <v>4178.000000000001</v>
      </c>
      <c r="D81" s="9">
        <f>SUM(E81:CY81)</f>
        <v>4178.000000000001</v>
      </c>
      <c r="E81" s="9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31"/>
      <c r="W81" s="31"/>
      <c r="X81" s="31"/>
      <c r="Y81" s="31"/>
      <c r="Z81" s="31"/>
      <c r="AA81" s="9">
        <f>37.5</f>
        <v>37.5</v>
      </c>
      <c r="AB81" s="46"/>
      <c r="AC81" s="9">
        <f>4.5+160.53+15</f>
        <v>180.03</v>
      </c>
      <c r="AD81" s="9">
        <f>4.5+265.88+15</f>
        <v>285.38</v>
      </c>
      <c r="AE81" s="9">
        <f>4.5+160.53+15</f>
        <v>180.03</v>
      </c>
      <c r="AF81" s="9">
        <f>4.5+312.3+15</f>
        <v>331.8</v>
      </c>
      <c r="AG81" s="9">
        <f>6+476.58+15</f>
        <v>497.58</v>
      </c>
      <c r="AH81" s="9">
        <f>4.5+318.555+15</f>
        <v>338.055</v>
      </c>
      <c r="AI81" s="9">
        <f>4.5+312.3+15</f>
        <v>331.8</v>
      </c>
      <c r="AJ81" s="9">
        <f>3+160.53+7.5-90</f>
        <v>81.03</v>
      </c>
      <c r="AK81" s="9">
        <f>4.5+212.875+15</f>
        <v>232.375</v>
      </c>
      <c r="AL81" s="9">
        <f>4.5+212.875+15</f>
        <v>232.375</v>
      </c>
      <c r="AM81" s="9">
        <f>3+160.53+7.5</f>
        <v>171.03</v>
      </c>
      <c r="AN81" s="9">
        <f>4.5+265.88+15</f>
        <v>285.38</v>
      </c>
      <c r="AO81" s="9">
        <f>3+160.53+7.5</f>
        <v>171.03</v>
      </c>
      <c r="AP81" s="9">
        <f>4.5+212.875+15</f>
        <v>232.375</v>
      </c>
      <c r="AQ81" s="9">
        <f>4.5+154.28+15</f>
        <v>173.78</v>
      </c>
      <c r="AR81" s="9">
        <f>4.5+206.95+15-'[4]PL1'!$M$25/1000000</f>
        <v>113.13199999999999</v>
      </c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>
        <f>'[4]PL1'!$E$10/1000000</f>
        <v>303.318</v>
      </c>
    </row>
    <row r="82" spans="1:103" s="38" customFormat="1" ht="25.5">
      <c r="A82" s="35"/>
      <c r="B82" s="51" t="s">
        <v>45</v>
      </c>
      <c r="C82" s="7">
        <f t="shared" si="42"/>
        <v>469</v>
      </c>
      <c r="D82" s="9">
        <f>SUM(E82:CY82)</f>
        <v>469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37"/>
      <c r="AC82" s="7">
        <v>4.622</v>
      </c>
      <c r="AD82" s="7">
        <v>-10.172</v>
      </c>
      <c r="AE82" s="7">
        <v>81</v>
      </c>
      <c r="AF82" s="7">
        <v>-20</v>
      </c>
      <c r="AG82" s="7">
        <v>109.037</v>
      </c>
      <c r="AH82" s="7">
        <v>20</v>
      </c>
      <c r="AI82" s="7">
        <v>64.7</v>
      </c>
      <c r="AJ82" s="7">
        <v>29</v>
      </c>
      <c r="AK82" s="7">
        <v>65</v>
      </c>
      <c r="AL82" s="7">
        <v>3</v>
      </c>
      <c r="AM82" s="7">
        <v>-6</v>
      </c>
      <c r="AN82" s="7">
        <v>60</v>
      </c>
      <c r="AO82" s="7">
        <v>31</v>
      </c>
      <c r="AP82" s="7">
        <v>-25</v>
      </c>
      <c r="AQ82" s="7">
        <v>2.813</v>
      </c>
      <c r="AR82" s="7">
        <v>60</v>
      </c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  <c r="BI82" s="93"/>
      <c r="BJ82" s="93"/>
      <c r="BK82" s="93"/>
      <c r="BL82" s="93"/>
      <c r="BM82" s="93"/>
      <c r="BN82" s="93"/>
      <c r="BO82" s="93"/>
      <c r="BP82" s="93"/>
      <c r="BQ82" s="93"/>
      <c r="BR82" s="93"/>
      <c r="BS82" s="93"/>
      <c r="BT82" s="93"/>
      <c r="BU82" s="93"/>
      <c r="BV82" s="93"/>
      <c r="BW82" s="93"/>
      <c r="BX82" s="93"/>
      <c r="BY82" s="93"/>
      <c r="BZ82" s="93"/>
      <c r="CA82" s="93"/>
      <c r="CB82" s="93"/>
      <c r="CC82" s="93"/>
      <c r="CD82" s="93"/>
      <c r="CE82" s="93"/>
      <c r="CF82" s="93"/>
      <c r="CG82" s="93"/>
      <c r="CH82" s="93"/>
      <c r="CI82" s="93"/>
      <c r="CJ82" s="93"/>
      <c r="CK82" s="93"/>
      <c r="CL82" s="93"/>
      <c r="CM82" s="93"/>
      <c r="CN82" s="93"/>
      <c r="CO82" s="93"/>
      <c r="CP82" s="93"/>
      <c r="CQ82" s="93"/>
      <c r="CR82" s="93"/>
      <c r="CS82" s="93"/>
      <c r="CT82" s="93"/>
      <c r="CU82" s="93"/>
      <c r="CV82" s="93"/>
      <c r="CW82" s="93"/>
      <c r="CX82" s="93"/>
      <c r="CY82" s="93"/>
    </row>
    <row r="83" spans="1:103" s="8" customFormat="1" ht="12.75" hidden="1">
      <c r="A83" s="33"/>
      <c r="B83" s="36" t="s">
        <v>46</v>
      </c>
      <c r="C83" s="7">
        <f t="shared" si="42"/>
        <v>0</v>
      </c>
      <c r="D83" s="7">
        <f>SUM(E83:CT83)</f>
        <v>0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3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  <c r="BX83" s="92"/>
      <c r="BY83" s="92"/>
      <c r="BZ83" s="92"/>
      <c r="CA83" s="92"/>
      <c r="CB83" s="92"/>
      <c r="CC83" s="92"/>
      <c r="CD83" s="92"/>
      <c r="CE83" s="92"/>
      <c r="CF83" s="92"/>
      <c r="CG83" s="92"/>
      <c r="CH83" s="92"/>
      <c r="CI83" s="92"/>
      <c r="CJ83" s="92"/>
      <c r="CK83" s="92"/>
      <c r="CL83" s="92"/>
      <c r="CM83" s="92"/>
      <c r="CN83" s="92"/>
      <c r="CO83" s="92"/>
      <c r="CP83" s="92"/>
      <c r="CQ83" s="92"/>
      <c r="CR83" s="92"/>
      <c r="CS83" s="92"/>
      <c r="CT83" s="92"/>
      <c r="CU83" s="92"/>
      <c r="CV83" s="92"/>
      <c r="CW83" s="92"/>
      <c r="CX83" s="92"/>
      <c r="CY83" s="92"/>
    </row>
    <row r="84" spans="1:103" ht="12.75">
      <c r="A84" s="11">
        <v>10</v>
      </c>
      <c r="B84" s="2" t="s">
        <v>220</v>
      </c>
      <c r="C84" s="12">
        <f t="shared" si="42"/>
        <v>936.5</v>
      </c>
      <c r="D84" s="12">
        <f>D85+D88</f>
        <v>936.5</v>
      </c>
      <c r="E84" s="12">
        <f aca="true" t="shared" si="48" ref="E84:AB84">SUM(E85:E88)</f>
        <v>0</v>
      </c>
      <c r="F84" s="12">
        <f t="shared" si="48"/>
        <v>0</v>
      </c>
      <c r="G84" s="12">
        <f t="shared" si="48"/>
        <v>0</v>
      </c>
      <c r="H84" s="12">
        <f t="shared" si="48"/>
        <v>0</v>
      </c>
      <c r="I84" s="12">
        <f t="shared" si="48"/>
        <v>0</v>
      </c>
      <c r="J84" s="12">
        <f t="shared" si="48"/>
        <v>0</v>
      </c>
      <c r="K84" s="12">
        <f t="shared" si="48"/>
        <v>0</v>
      </c>
      <c r="L84" s="12">
        <f t="shared" si="48"/>
        <v>0</v>
      </c>
      <c r="M84" s="12">
        <f t="shared" si="48"/>
        <v>0</v>
      </c>
      <c r="N84" s="12">
        <f t="shared" si="48"/>
        <v>0</v>
      </c>
      <c r="O84" s="12">
        <f t="shared" si="48"/>
        <v>0</v>
      </c>
      <c r="P84" s="12">
        <f t="shared" si="48"/>
        <v>0</v>
      </c>
      <c r="Q84" s="12">
        <f t="shared" si="48"/>
        <v>0</v>
      </c>
      <c r="R84" s="12">
        <f t="shared" si="48"/>
        <v>0</v>
      </c>
      <c r="S84" s="12">
        <f t="shared" si="48"/>
        <v>0</v>
      </c>
      <c r="T84" s="12"/>
      <c r="U84" s="12"/>
      <c r="V84" s="12">
        <f t="shared" si="48"/>
        <v>0</v>
      </c>
      <c r="W84" s="12">
        <f t="shared" si="48"/>
        <v>0</v>
      </c>
      <c r="X84" s="12">
        <f t="shared" si="48"/>
        <v>0</v>
      </c>
      <c r="Y84" s="12">
        <f t="shared" si="48"/>
        <v>0</v>
      </c>
      <c r="Z84" s="12">
        <f t="shared" si="48"/>
        <v>0</v>
      </c>
      <c r="AA84" s="12">
        <f t="shared" si="48"/>
        <v>0</v>
      </c>
      <c r="AB84" s="12">
        <f t="shared" si="48"/>
        <v>1036.5</v>
      </c>
      <c r="AC84" s="12">
        <f aca="true" t="shared" si="49" ref="AC84:AR84">AC85+AC88</f>
        <v>0</v>
      </c>
      <c r="AD84" s="12">
        <f t="shared" si="49"/>
        <v>-50</v>
      </c>
      <c r="AE84" s="12">
        <f t="shared" si="49"/>
        <v>0</v>
      </c>
      <c r="AF84" s="12">
        <f t="shared" si="49"/>
        <v>0</v>
      </c>
      <c r="AG84" s="12">
        <f t="shared" si="49"/>
        <v>0</v>
      </c>
      <c r="AH84" s="12">
        <f t="shared" si="49"/>
        <v>0</v>
      </c>
      <c r="AI84" s="12">
        <f t="shared" si="49"/>
        <v>0</v>
      </c>
      <c r="AJ84" s="12">
        <f t="shared" si="49"/>
        <v>0</v>
      </c>
      <c r="AK84" s="12">
        <f t="shared" si="49"/>
        <v>0</v>
      </c>
      <c r="AL84" s="12">
        <f t="shared" si="49"/>
        <v>0</v>
      </c>
      <c r="AM84" s="12">
        <f t="shared" si="49"/>
        <v>0</v>
      </c>
      <c r="AN84" s="12">
        <f t="shared" si="49"/>
        <v>0</v>
      </c>
      <c r="AO84" s="12">
        <f t="shared" si="49"/>
        <v>0</v>
      </c>
      <c r="AP84" s="12">
        <f t="shared" si="49"/>
        <v>0</v>
      </c>
      <c r="AQ84" s="12">
        <f t="shared" si="49"/>
        <v>0</v>
      </c>
      <c r="AR84" s="12">
        <f t="shared" si="49"/>
        <v>0</v>
      </c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</row>
    <row r="85" spans="1:103" ht="12.75">
      <c r="A85" s="1" t="s">
        <v>49</v>
      </c>
      <c r="B85" s="3" t="s">
        <v>19</v>
      </c>
      <c r="C85" s="9">
        <f>SUM(C86:C87)</f>
        <v>0</v>
      </c>
      <c r="D85" s="9">
        <f>SUM(D86:D87)</f>
        <v>0</v>
      </c>
      <c r="E85" s="9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31"/>
      <c r="W85" s="31"/>
      <c r="X85" s="31"/>
      <c r="Y85" s="31"/>
      <c r="Z85" s="31"/>
      <c r="AA85" s="31"/>
      <c r="AB85" s="46"/>
      <c r="AC85" s="9">
        <f aca="true" t="shared" si="50" ref="AC85:AR85">SUM(AC86:AC87)</f>
        <v>0</v>
      </c>
      <c r="AD85" s="9">
        <f t="shared" si="50"/>
        <v>0</v>
      </c>
      <c r="AE85" s="9">
        <f t="shared" si="50"/>
        <v>0</v>
      </c>
      <c r="AF85" s="9">
        <f t="shared" si="50"/>
        <v>0</v>
      </c>
      <c r="AG85" s="9">
        <f t="shared" si="50"/>
        <v>0</v>
      </c>
      <c r="AH85" s="9">
        <f t="shared" si="50"/>
        <v>0</v>
      </c>
      <c r="AI85" s="9">
        <f t="shared" si="50"/>
        <v>0</v>
      </c>
      <c r="AJ85" s="9">
        <f t="shared" si="50"/>
        <v>0</v>
      </c>
      <c r="AK85" s="9">
        <f t="shared" si="50"/>
        <v>0</v>
      </c>
      <c r="AL85" s="9">
        <f t="shared" si="50"/>
        <v>0</v>
      </c>
      <c r="AM85" s="9">
        <f t="shared" si="50"/>
        <v>0</v>
      </c>
      <c r="AN85" s="9">
        <f t="shared" si="50"/>
        <v>0</v>
      </c>
      <c r="AO85" s="9">
        <f t="shared" si="50"/>
        <v>0</v>
      </c>
      <c r="AP85" s="9">
        <f t="shared" si="50"/>
        <v>0</v>
      </c>
      <c r="AQ85" s="9">
        <f t="shared" si="50"/>
        <v>0</v>
      </c>
      <c r="AR85" s="9">
        <f t="shared" si="50"/>
        <v>0</v>
      </c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</row>
    <row r="86" spans="1:103" ht="12.75">
      <c r="A86" s="1"/>
      <c r="B86" s="30" t="s">
        <v>1</v>
      </c>
      <c r="C86" s="9">
        <f>SUM(D86:CT86)</f>
        <v>0</v>
      </c>
      <c r="D86" s="9">
        <f>SUM(E86:CT86)</f>
        <v>0</v>
      </c>
      <c r="E86" s="9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31"/>
      <c r="W86" s="31"/>
      <c r="X86" s="31"/>
      <c r="Y86" s="31"/>
      <c r="Z86" s="31"/>
      <c r="AA86" s="31"/>
      <c r="AB86" s="46"/>
      <c r="AC86" s="46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</row>
    <row r="87" spans="1:103" ht="12.75">
      <c r="A87" s="1"/>
      <c r="B87" s="30" t="s">
        <v>2</v>
      </c>
      <c r="C87" s="9">
        <f>SUM(D87:CT87)</f>
        <v>0</v>
      </c>
      <c r="D87" s="9">
        <f>SUM(E87:CT87)</f>
        <v>0</v>
      </c>
      <c r="E87" s="9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31"/>
      <c r="W87" s="31"/>
      <c r="X87" s="31"/>
      <c r="Y87" s="31"/>
      <c r="Z87" s="31"/>
      <c r="AA87" s="31"/>
      <c r="AB87" s="46"/>
      <c r="AC87" s="46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</row>
    <row r="88" spans="1:103" ht="12.75">
      <c r="A88" s="1" t="s">
        <v>50</v>
      </c>
      <c r="B88" s="3" t="s">
        <v>20</v>
      </c>
      <c r="C88" s="13">
        <f>D88</f>
        <v>936.5</v>
      </c>
      <c r="D88" s="13">
        <f>D89</f>
        <v>936.5</v>
      </c>
      <c r="E88" s="13">
        <f aca="true" t="shared" si="51" ref="E88:AC88">E89</f>
        <v>0</v>
      </c>
      <c r="F88" s="13">
        <f t="shared" si="51"/>
        <v>0</v>
      </c>
      <c r="G88" s="13">
        <f t="shared" si="51"/>
        <v>0</v>
      </c>
      <c r="H88" s="13">
        <f t="shared" si="51"/>
        <v>0</v>
      </c>
      <c r="I88" s="13">
        <f t="shared" si="51"/>
        <v>0</v>
      </c>
      <c r="J88" s="13">
        <f t="shared" si="51"/>
        <v>0</v>
      </c>
      <c r="K88" s="13">
        <f t="shared" si="51"/>
        <v>0</v>
      </c>
      <c r="L88" s="13">
        <f t="shared" si="51"/>
        <v>0</v>
      </c>
      <c r="M88" s="13">
        <f t="shared" si="51"/>
        <v>0</v>
      </c>
      <c r="N88" s="13">
        <f t="shared" si="51"/>
        <v>0</v>
      </c>
      <c r="O88" s="13">
        <f t="shared" si="51"/>
        <v>0</v>
      </c>
      <c r="P88" s="13">
        <f t="shared" si="51"/>
        <v>0</v>
      </c>
      <c r="Q88" s="13">
        <f t="shared" si="51"/>
        <v>0</v>
      </c>
      <c r="R88" s="13">
        <f t="shared" si="51"/>
        <v>0</v>
      </c>
      <c r="S88" s="13">
        <f t="shared" si="51"/>
        <v>0</v>
      </c>
      <c r="T88" s="13"/>
      <c r="U88" s="13"/>
      <c r="V88" s="13">
        <f t="shared" si="51"/>
        <v>0</v>
      </c>
      <c r="W88" s="13">
        <f t="shared" si="51"/>
        <v>0</v>
      </c>
      <c r="X88" s="13">
        <f t="shared" si="51"/>
        <v>0</v>
      </c>
      <c r="Y88" s="13">
        <f t="shared" si="51"/>
        <v>0</v>
      </c>
      <c r="Z88" s="13">
        <f t="shared" si="51"/>
        <v>0</v>
      </c>
      <c r="AA88" s="13">
        <f t="shared" si="51"/>
        <v>0</v>
      </c>
      <c r="AB88" s="13">
        <f t="shared" si="51"/>
        <v>1036.5</v>
      </c>
      <c r="AC88" s="13">
        <f t="shared" si="51"/>
        <v>0</v>
      </c>
      <c r="AD88" s="13">
        <f>AD89</f>
        <v>-50</v>
      </c>
      <c r="AE88" s="13">
        <f>AE89</f>
        <v>0</v>
      </c>
      <c r="AF88" s="13">
        <f>AF89</f>
        <v>0</v>
      </c>
      <c r="AG88" s="13">
        <f>AG89</f>
        <v>0</v>
      </c>
      <c r="AH88" s="13">
        <f>AH89</f>
        <v>0</v>
      </c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>
        <f>BT89</f>
        <v>0</v>
      </c>
      <c r="BU88" s="13">
        <f>BU89</f>
        <v>0</v>
      </c>
      <c r="BV88" s="13">
        <f>BV89</f>
        <v>0</v>
      </c>
      <c r="BW88" s="13">
        <f>BW89</f>
        <v>0</v>
      </c>
      <c r="BX88" s="13">
        <f>BX89</f>
        <v>0</v>
      </c>
      <c r="BY88" s="13">
        <f>BY89</f>
        <v>0</v>
      </c>
      <c r="BZ88" s="13">
        <f>BZ89</f>
        <v>0</v>
      </c>
      <c r="CA88" s="13">
        <f>CA89</f>
        <v>0</v>
      </c>
      <c r="CB88" s="13">
        <f>CB89</f>
        <v>0</v>
      </c>
      <c r="CC88" s="13">
        <f>CC89</f>
        <v>0</v>
      </c>
      <c r="CD88" s="13">
        <f>CD89</f>
        <v>0</v>
      </c>
      <c r="CE88" s="13">
        <f>CE89</f>
        <v>0</v>
      </c>
      <c r="CF88" s="13">
        <f>CF89</f>
        <v>0</v>
      </c>
      <c r="CG88" s="13">
        <f>CG89</f>
        <v>0</v>
      </c>
      <c r="CH88" s="13">
        <f>CH89</f>
        <v>0</v>
      </c>
      <c r="CI88" s="13">
        <f>CI89</f>
        <v>0</v>
      </c>
      <c r="CJ88" s="13">
        <f>CJ89</f>
        <v>0</v>
      </c>
      <c r="CK88" s="13">
        <f>CK89</f>
        <v>0</v>
      </c>
      <c r="CL88" s="13">
        <f>CL89</f>
        <v>0</v>
      </c>
      <c r="CM88" s="13">
        <f>CM89</f>
        <v>0</v>
      </c>
      <c r="CN88" s="13">
        <f>CN89</f>
        <v>0</v>
      </c>
      <c r="CO88" s="13">
        <f>CO89</f>
        <v>0</v>
      </c>
      <c r="CP88" s="13">
        <f>CP89</f>
        <v>0</v>
      </c>
      <c r="CQ88" s="13">
        <f>CQ89</f>
        <v>0</v>
      </c>
      <c r="CR88" s="13">
        <f>CR89</f>
        <v>0</v>
      </c>
      <c r="CS88" s="13">
        <f>CS89</f>
        <v>0</v>
      </c>
      <c r="CT88" s="13">
        <f>CT89</f>
        <v>0</v>
      </c>
      <c r="CU88" s="13">
        <f>CU89</f>
        <v>0</v>
      </c>
      <c r="CV88" s="13">
        <f>CV89</f>
        <v>0</v>
      </c>
      <c r="CW88" s="13">
        <f>CW89</f>
        <v>0</v>
      </c>
      <c r="CX88" s="13">
        <f>CX89</f>
        <v>0</v>
      </c>
      <c r="CY88" s="19"/>
    </row>
    <row r="89" spans="1:103" ht="12.75">
      <c r="A89" s="1"/>
      <c r="B89" s="34" t="s">
        <v>3</v>
      </c>
      <c r="C89" s="9">
        <f>D89</f>
        <v>936.5</v>
      </c>
      <c r="D89" s="9">
        <f>SUM(E89:CY89)</f>
        <v>936.5</v>
      </c>
      <c r="E89" s="9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31"/>
      <c r="W89" s="31"/>
      <c r="X89" s="31"/>
      <c r="Y89" s="31"/>
      <c r="Z89" s="31"/>
      <c r="AA89" s="31"/>
      <c r="AB89" s="46">
        <f>1036.5</f>
        <v>1036.5</v>
      </c>
      <c r="AC89" s="9"/>
      <c r="AD89" s="9">
        <f>-50</f>
        <v>-50</v>
      </c>
      <c r="AE89" s="9"/>
      <c r="AF89" s="9"/>
      <c r="AG89" s="9"/>
      <c r="AH89" s="9"/>
      <c r="AI89" s="9"/>
      <c r="AJ89" s="9"/>
      <c r="AK89" s="9"/>
      <c r="AL89" s="9">
        <v>-50</v>
      </c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19"/>
    </row>
    <row r="90" spans="1:4" s="79" customFormat="1" ht="12.75">
      <c r="A90" s="78"/>
      <c r="B90" s="78" t="s">
        <v>236</v>
      </c>
      <c r="C90" s="78"/>
      <c r="D90" s="82"/>
    </row>
    <row r="91" spans="2:25" ht="12.75">
      <c r="B91" s="27"/>
      <c r="C91" s="27"/>
      <c r="E91" s="16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2:3" ht="12.75">
      <c r="B92" s="27"/>
      <c r="C92" s="27"/>
    </row>
  </sheetData>
  <sheetProtection/>
  <mergeCells count="2">
    <mergeCell ref="A3:K3"/>
    <mergeCell ref="A4:K4"/>
  </mergeCells>
  <printOptions/>
  <pageMargins left="0.8661417322834646" right="0.1968503937007874" top="0.52" bottom="0.24" header="0.1968503937007874" footer="0.1968503937007874"/>
  <pageSetup horizontalDpi="600" verticalDpi="600" orientation="landscape" paperSize="9" scale="97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</dc:creator>
  <cp:keywords/>
  <dc:description/>
  <cp:lastModifiedBy>CMS</cp:lastModifiedBy>
  <cp:lastPrinted>2023-01-16T07:57:43Z</cp:lastPrinted>
  <dcterms:created xsi:type="dcterms:W3CDTF">2017-12-18T04:16:05Z</dcterms:created>
  <dcterms:modified xsi:type="dcterms:W3CDTF">2023-02-02T02:01:15Z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Ng">
    <vt:lpwstr>2023-02-02T00:00:00Z</vt:lpwstr>
  </property>
  <property fmtid="{D5CDD505-2E9C-101B-9397-08002B2CF9AE}" pid="4" name="ContentTy">
    <vt:lpwstr>Hình ảnh</vt:lpwstr>
  </property>
  <property fmtid="{D5CDD505-2E9C-101B-9397-08002B2CF9AE}" pid="5" name="Ngày g">
    <vt:lpwstr>2023-02-02T14:31:00Z</vt:lpwstr>
  </property>
</Properties>
</file>