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770" activeTab="2"/>
  </bookViews>
  <sheets>
    <sheet name="BS93" sheetId="1" r:id="rId1"/>
    <sheet name="BS94" sheetId="2" r:id="rId2"/>
    <sheet name="BS95" sheetId="3" r:id="rId3"/>
  </sheets>
  <externalReferences>
    <externalReference r:id="rId6"/>
    <externalReference r:id="rId7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<sst xmlns="http://schemas.openxmlformats.org/spreadsheetml/2006/main" count="145" uniqueCount="85">
  <si>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</si>
  <si>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</si>
  <si>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</si>
  <si>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</si>
  <si>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</si>
  <si>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</si>
  <si>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</si>
  <si>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</si>
  <si>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</si>
  <si>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</si>
  <si>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</si>
  <si>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</si>
  <si>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</si>
  <si>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</si>
  <si>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</si>
  <si>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</si>
  <si>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</si>
  <si>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</si>
  <si>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</si>
  <si>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</si>
  <si>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</si>
  <si>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</si>
  <si>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</si>
  <si>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</si>
  <si>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</si>
  <si>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</si>
  <si>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</si>
  <si>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</si>
  <si>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</si>
  <si>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</si>
  <si>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</si>
  <si>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</si>
  <si>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</si>
  <si>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</si>
  <si>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</si>
  <si>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</si>
  <si>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</si>
  <si>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</si>
  <si>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</si>
  <si>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</si>
  <si>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</si>
  <si>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</si>
  <si>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</si>
  <si>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</si>
  <si>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</si>
  <si>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</si>
  <si>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</si>
  <si>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</si>
  <si>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</si>
  <si>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</si>
  <si>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</si>
  <si>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</si>
  <si>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</si>
  <si>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</si>
  <si>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</si>
  <si>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</si>
  <si>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</si>
  <si>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</si>
  <si>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</si>
  <si>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</si>
  <si>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</si>
  <si>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</si>
  <si>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</si>
  <si>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</si>
  <si>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</si>
  <si>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</si>
  <si>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</si>
  <si>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</si>
  <si>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</si>
  <si>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</si>
  <si>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</si>
  <si>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</si>
  <si>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</si>
  <si>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</si>
  <si>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</si>
  <si>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</si>
  <si>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</si>
  <si>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</si>
  <si>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</si>
  <si>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Dự toán chi đầu tư phát triển: được giao theo Quyết định số 6146/QĐ-UBND ngày 28/12/2018, số 2861/QĐ-UBND</t>
  </si>
  <si>
    <t>THỰC HIỆN THU NGÂN SÁCH NHÀ NƯỚC NĂM 2019</t>
  </si>
  <si>
    <t>CÂN ĐỐI NGÂN SÁCH QUẬN NĂM 2019</t>
  </si>
  <si>
    <t>THỰC HIỆN CHI NGÂN SÁCH QUẬN NĂM 2019</t>
  </si>
  <si>
    <t xml:space="preserve">ngày 05/7/2019, số 4634/QĐ-UBND ngày 28/10/2019 của UBND TPHCM, Quyết định số 88/QĐ-SKHĐT </t>
  </si>
  <si>
    <t>ngày 08/4/2019 của Sở Kế hoạch và Đầu tư TPHCM.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</si>
</sst>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i/>
      <sz val="10"/>
      <color rgb="FF0000CC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9" fillId="0" borderId="21" xfId="0" applyFont="1" applyBorder="1" applyAlignment="1">
      <alignment/>
    </xf>
    <xf numFmtId="0" fontId="6" fillId="0" borderId="17" xfId="0" applyFont="1" applyBorder="1" applyAlignment="1">
      <alignment horizontal="centerContinuous"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3" fontId="9" fillId="0" borderId="22" xfId="43" applyNumberFormat="1" applyFont="1" applyFill="1" applyBorder="1" applyAlignment="1">
      <alignment/>
    </xf>
    <xf numFmtId="4" fontId="9" fillId="0" borderId="22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4" fontId="10" fillId="0" borderId="12" xfId="43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3" fontId="14" fillId="0" borderId="11" xfId="0" applyNumberFormat="1" applyFont="1" applyBorder="1" applyAlignment="1">
      <alignment/>
    </xf>
    <xf numFmtId="4" fontId="14" fillId="0" borderId="11" xfId="43" applyNumberFormat="1" applyFont="1" applyFill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11" xfId="43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2" xfId="43" applyNumberFormat="1" applyFont="1" applyFill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3" fontId="9" fillId="0" borderId="12" xfId="43" applyNumberFormat="1" applyFont="1" applyFill="1" applyBorder="1" applyAlignment="1">
      <alignment vertical="top"/>
    </xf>
    <xf numFmtId="4" fontId="9" fillId="0" borderId="12" xfId="43" applyNumberFormat="1" applyFont="1" applyFill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6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9" fontId="6" fillId="0" borderId="0" xfId="71" applyFont="1" applyAlignment="1">
      <alignment/>
    </xf>
    <xf numFmtId="0" fontId="58" fillId="0" borderId="0" xfId="0" applyFont="1" applyAlignment="1">
      <alignment/>
    </xf>
    <xf numFmtId="0" fontId="59" fillId="0" borderId="14" xfId="0" applyFont="1" applyBorder="1" applyAlignment="1">
      <alignment horizontal="centerContinuous"/>
    </xf>
    <xf numFmtId="0" fontId="59" fillId="0" borderId="15" xfId="0" applyFont="1" applyBorder="1" applyAlignment="1">
      <alignment horizontal="centerContinuous"/>
    </xf>
    <xf numFmtId="0" fontId="59" fillId="0" borderId="17" xfId="0" applyFont="1" applyBorder="1" applyAlignment="1">
      <alignment horizontal="centerContinuous"/>
    </xf>
    <xf numFmtId="0" fontId="58" fillId="0" borderId="13" xfId="0" applyFont="1" applyBorder="1" applyAlignment="1" quotePrefix="1">
      <alignment horizontal="centerContinuous"/>
    </xf>
    <xf numFmtId="3" fontId="58" fillId="0" borderId="11" xfId="43" applyNumberFormat="1" applyFont="1" applyFill="1" applyBorder="1" applyAlignment="1">
      <alignment/>
    </xf>
    <xf numFmtId="3" fontId="59" fillId="0" borderId="10" xfId="43" applyNumberFormat="1" applyFont="1" applyFill="1" applyBorder="1" applyAlignment="1">
      <alignment/>
    </xf>
    <xf numFmtId="3" fontId="58" fillId="0" borderId="12" xfId="43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3" fontId="58" fillId="0" borderId="0" xfId="43" applyNumberFormat="1" applyFont="1" applyBorder="1" applyAlignment="1">
      <alignment/>
    </xf>
    <xf numFmtId="38" fontId="58" fillId="0" borderId="0" xfId="42" applyNumberFormat="1" applyFont="1" applyAlignment="1">
      <alignment/>
    </xf>
    <xf numFmtId="0" fontId="60" fillId="0" borderId="0" xfId="0" applyFont="1" applyAlignment="1">
      <alignment horizontal="right"/>
    </xf>
    <xf numFmtId="0" fontId="59" fillId="0" borderId="13" xfId="0" applyFont="1" applyBorder="1" applyAlignment="1">
      <alignment horizontal="centerContinuous"/>
    </xf>
    <xf numFmtId="4" fontId="59" fillId="0" borderId="12" xfId="43" applyNumberFormat="1" applyFont="1" applyFill="1" applyBorder="1" applyAlignment="1">
      <alignment/>
    </xf>
    <xf numFmtId="4" fontId="59" fillId="0" borderId="11" xfId="43" applyNumberFormat="1" applyFont="1" applyBorder="1" applyAlignment="1">
      <alignment/>
    </xf>
    <xf numFmtId="4" fontId="58" fillId="0" borderId="11" xfId="43" applyNumberFormat="1" applyFont="1" applyBorder="1" applyAlignment="1">
      <alignment/>
    </xf>
    <xf numFmtId="4" fontId="58" fillId="0" borderId="12" xfId="43" applyNumberFormat="1" applyFont="1" applyFill="1" applyBorder="1" applyAlignment="1">
      <alignment/>
    </xf>
    <xf numFmtId="4" fontId="59" fillId="0" borderId="10" xfId="43" applyNumberFormat="1" applyFont="1" applyFill="1" applyBorder="1" applyAlignment="1">
      <alignment/>
    </xf>
    <xf numFmtId="0" fontId="61" fillId="0" borderId="0" xfId="0" applyFont="1" applyAlignment="1">
      <alignment horizontal="right"/>
    </xf>
    <xf numFmtId="3" fontId="61" fillId="0" borderId="12" xfId="43" applyNumberFormat="1" applyFont="1" applyFill="1" applyBorder="1" applyAlignment="1">
      <alignment/>
    </xf>
    <xf numFmtId="3" fontId="61" fillId="0" borderId="11" xfId="43" applyNumberFormat="1" applyFont="1" applyFill="1" applyBorder="1" applyAlignment="1">
      <alignment/>
    </xf>
    <xf numFmtId="3" fontId="56" fillId="0" borderId="11" xfId="43" applyNumberFormat="1" applyFont="1" applyBorder="1" applyAlignment="1">
      <alignment/>
    </xf>
    <xf numFmtId="3" fontId="56" fillId="0" borderId="11" xfId="43" applyNumberFormat="1" applyFont="1" applyFill="1" applyBorder="1" applyAlignment="1">
      <alignment/>
    </xf>
    <xf numFmtId="178" fontId="6" fillId="0" borderId="12" xfId="43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19\BC%20thu%20chi%20NS%202019\BC%20thu%20chi%20thang%20STC%202019%20(i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C&#244;ng%20khai%20NS\CK%202018\Cong%20khai%20tinh%20hinh%20NS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8"/>
      <sheetName val="T7"/>
      <sheetName val="LK12T"/>
      <sheetName val="T11"/>
      <sheetName val="T10"/>
      <sheetName val="T9"/>
      <sheetName val="T"/>
      <sheetName val="N-"/>
      <sheetName val="T---6"/>
      <sheetName val="np"/>
      <sheetName val="NN"/>
      <sheetName val="DT"/>
      <sheetName val="N"/>
      <sheetName val="Nhap"/>
      <sheetName val="Sheet1"/>
      <sheetName val="Sheet2"/>
    </sheetNames>
    <sheetDataSet>
      <sheetData sheetId="8">
        <row r="11">
          <cell r="C11">
            <v>1302971000</v>
          </cell>
          <cell r="G11">
            <v>1633187613</v>
          </cell>
        </row>
        <row r="12">
          <cell r="O12">
            <v>123293000</v>
          </cell>
          <cell r="R12">
            <v>119639000</v>
          </cell>
        </row>
        <row r="16">
          <cell r="O16">
            <v>1179678000</v>
          </cell>
          <cell r="R16">
            <v>1019635898</v>
          </cell>
        </row>
        <row r="18">
          <cell r="R18">
            <v>35417011</v>
          </cell>
        </row>
        <row r="22">
          <cell r="R22">
            <v>10530793</v>
          </cell>
        </row>
        <row r="24">
          <cell r="R24">
            <v>387240</v>
          </cell>
        </row>
        <row r="25">
          <cell r="R25">
            <v>73531887</v>
          </cell>
        </row>
        <row r="29">
          <cell r="R29">
            <v>2335572</v>
          </cell>
        </row>
        <row r="30">
          <cell r="R30">
            <v>415115066</v>
          </cell>
        </row>
        <row r="33">
          <cell r="G33">
            <v>49952508</v>
          </cell>
        </row>
        <row r="35">
          <cell r="R35">
            <v>99686014</v>
          </cell>
        </row>
        <row r="41">
          <cell r="R41">
            <v>4747838</v>
          </cell>
        </row>
        <row r="46">
          <cell r="R46">
            <v>1460268</v>
          </cell>
        </row>
        <row r="49">
          <cell r="R49">
            <v>97280106</v>
          </cell>
        </row>
        <row r="57">
          <cell r="R57">
            <v>193196265</v>
          </cell>
        </row>
        <row r="72">
          <cell r="O72">
            <v>23630000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93"/>
      <sheetName val="BS94"/>
      <sheetName val="BS95"/>
      <sheetName val="Sheet1"/>
    </sheetNames>
    <sheetDataSet>
      <sheetData sheetId="0">
        <row r="12">
          <cell r="D12">
            <v>1291573</v>
          </cell>
        </row>
        <row r="13">
          <cell r="D13">
            <v>1246058</v>
          </cell>
        </row>
        <row r="14">
          <cell r="D14">
            <v>1246058</v>
          </cell>
        </row>
        <row r="16">
          <cell r="D16">
            <v>45515</v>
          </cell>
        </row>
        <row r="17">
          <cell r="D17">
            <v>802195.117</v>
          </cell>
        </row>
        <row r="18">
          <cell r="D18">
            <v>799122.042</v>
          </cell>
        </row>
        <row r="19">
          <cell r="D19">
            <v>62627.282</v>
          </cell>
        </row>
        <row r="20">
          <cell r="D20">
            <v>736494.76</v>
          </cell>
        </row>
      </sheetData>
      <sheetData sheetId="1">
        <row r="12">
          <cell r="D12">
            <v>1461924.431111111</v>
          </cell>
        </row>
        <row r="16">
          <cell r="D16">
            <v>645387</v>
          </cell>
        </row>
        <row r="17">
          <cell r="D17">
            <v>213089.37</v>
          </cell>
        </row>
        <row r="18">
          <cell r="D18">
            <v>2622.88</v>
          </cell>
        </row>
        <row r="19">
          <cell r="D19">
            <v>208767.336</v>
          </cell>
        </row>
        <row r="20">
          <cell r="D20">
            <v>48532.922</v>
          </cell>
        </row>
        <row r="21">
          <cell r="D21">
            <v>245770.12399999998</v>
          </cell>
        </row>
        <row r="23">
          <cell r="D23">
            <v>11912.598</v>
          </cell>
        </row>
        <row r="24">
          <cell r="D24">
            <v>158617.879</v>
          </cell>
        </row>
        <row r="25">
          <cell r="D25">
            <v>75239.647</v>
          </cell>
        </row>
        <row r="28">
          <cell r="D28">
            <v>80426.687</v>
          </cell>
        </row>
        <row r="31">
          <cell r="D31">
            <v>234116.707</v>
          </cell>
        </row>
        <row r="32">
          <cell r="D32">
            <v>115747.409</v>
          </cell>
        </row>
        <row r="33">
          <cell r="D33">
            <v>118369.298</v>
          </cell>
        </row>
      </sheetData>
      <sheetData sheetId="2">
        <row r="12">
          <cell r="D12">
            <v>802195.1599999998</v>
          </cell>
        </row>
        <row r="13">
          <cell r="D13">
            <v>799122.0849999998</v>
          </cell>
        </row>
        <row r="14">
          <cell r="D14">
            <v>62627.282</v>
          </cell>
        </row>
        <row r="15">
          <cell r="D15">
            <v>62381.282</v>
          </cell>
        </row>
        <row r="16">
          <cell r="D16">
            <v>246</v>
          </cell>
        </row>
        <row r="17">
          <cell r="D17">
            <v>736494.8029999998</v>
          </cell>
        </row>
        <row r="19">
          <cell r="D19">
            <v>271793.306</v>
          </cell>
        </row>
        <row r="21">
          <cell r="D21">
            <v>66361.507</v>
          </cell>
        </row>
        <row r="22">
          <cell r="D22">
            <v>4142.766</v>
          </cell>
        </row>
        <row r="24">
          <cell r="D24">
            <v>579.422</v>
          </cell>
        </row>
        <row r="25">
          <cell r="D25">
            <v>45974.043</v>
          </cell>
        </row>
        <row r="26">
          <cell r="D26">
            <v>42909.278000000006</v>
          </cell>
        </row>
        <row r="27">
          <cell r="D27">
            <v>153218.868</v>
          </cell>
        </row>
        <row r="28">
          <cell r="D28">
            <v>99287.852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120" zoomScaleNormal="120" zoomScalePageLayoutView="0" workbookViewId="0" topLeftCell="A7">
      <selection activeCell="A29" sqref="A29"/>
    </sheetView>
  </sheetViews>
  <sheetFormatPr defaultColWidth="9.140625" defaultRowHeight="12.75"/>
  <cols>
    <col min="1" max="1" width="5.421875" style="1" customWidth="1"/>
    <col min="2" max="2" width="39.57421875" style="1" customWidth="1"/>
    <col min="3" max="3" width="10.57421875" style="1" customWidth="1"/>
    <col min="4" max="4" width="10.57421875" style="103" customWidth="1"/>
    <col min="5" max="5" width="11.140625" style="1" customWidth="1"/>
    <col min="6" max="6" width="10.57421875" style="103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75</v>
      </c>
      <c r="F1" s="121" t="s">
        <v>56</v>
      </c>
    </row>
    <row r="2" ht="12.75">
      <c r="A2" s="9" t="s">
        <v>76</v>
      </c>
    </row>
    <row r="3" ht="12.75">
      <c r="A3" s="9" t="s">
        <v>78</v>
      </c>
    </row>
    <row r="4" ht="12.75">
      <c r="A4" s="9"/>
    </row>
    <row r="5" spans="1:6" s="3" customFormat="1" ht="16.5">
      <c r="A5" s="128" t="s">
        <v>81</v>
      </c>
      <c r="B5" s="128"/>
      <c r="C5" s="128"/>
      <c r="D5" s="128"/>
      <c r="E5" s="128"/>
      <c r="F5" s="128"/>
    </row>
    <row r="6" spans="1:6" s="4" customFormat="1" ht="12.75" hidden="1">
      <c r="A6" s="129" t="s">
        <v>55</v>
      </c>
      <c r="B6" s="129"/>
      <c r="C6" s="129"/>
      <c r="D6" s="129"/>
      <c r="E6" s="129"/>
      <c r="F6" s="129"/>
    </row>
    <row r="7" ht="12.75">
      <c r="F7" s="114" t="s">
        <v>27</v>
      </c>
    </row>
    <row r="8" spans="1:6" ht="12.75">
      <c r="A8" s="72" t="s">
        <v>0</v>
      </c>
      <c r="B8" s="72" t="s">
        <v>34</v>
      </c>
      <c r="C8" s="73" t="s">
        <v>18</v>
      </c>
      <c r="D8" s="104" t="s">
        <v>30</v>
      </c>
      <c r="E8" s="74" t="s">
        <v>58</v>
      </c>
      <c r="F8" s="115"/>
    </row>
    <row r="9" spans="1:6" ht="12.75">
      <c r="A9" s="75"/>
      <c r="B9" s="76"/>
      <c r="C9" s="77" t="s">
        <v>31</v>
      </c>
      <c r="D9" s="105" t="s">
        <v>31</v>
      </c>
      <c r="E9" s="77" t="s">
        <v>57</v>
      </c>
      <c r="F9" s="105" t="s">
        <v>32</v>
      </c>
    </row>
    <row r="10" spans="1:6" ht="12.75">
      <c r="A10" s="78"/>
      <c r="B10" s="79"/>
      <c r="C10" s="80"/>
      <c r="D10" s="106"/>
      <c r="E10" s="80"/>
      <c r="F10" s="106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107" t="s">
        <v>25</v>
      </c>
      <c r="E11" s="38" t="s">
        <v>35</v>
      </c>
      <c r="F11" s="107" t="s">
        <v>26</v>
      </c>
    </row>
    <row r="12" spans="1:7" ht="12.75">
      <c r="A12" s="15" t="s">
        <v>7</v>
      </c>
      <c r="B12" s="36" t="s">
        <v>73</v>
      </c>
      <c r="C12" s="25">
        <f>C13+C16</f>
        <v>1302971</v>
      </c>
      <c r="D12" s="122">
        <f>D13+D16</f>
        <v>1633187.613</v>
      </c>
      <c r="E12" s="39">
        <f>D12/C12*100</f>
        <v>125.3433586012275</v>
      </c>
      <c r="F12" s="116">
        <f>D12/'[2]BS93'!$D$12*100</f>
        <v>126.44950095735975</v>
      </c>
      <c r="G12" s="8"/>
    </row>
    <row r="13" spans="1:6" ht="12.75">
      <c r="A13" s="10" t="s">
        <v>1</v>
      </c>
      <c r="B13" s="31" t="s">
        <v>59</v>
      </c>
      <c r="C13" s="27">
        <f>SUM(C14:C15)</f>
        <v>1302971</v>
      </c>
      <c r="D13" s="123">
        <f>SUM(D14:D15)</f>
        <v>1583235.105</v>
      </c>
      <c r="E13" s="39">
        <f>D13/C13*100</f>
        <v>121.50961955408064</v>
      </c>
      <c r="F13" s="117">
        <f>D13/'[2]BS93'!$D$13*100</f>
        <v>127.05950324944746</v>
      </c>
    </row>
    <row r="14" spans="1:6" ht="12.75">
      <c r="A14" s="11">
        <v>1</v>
      </c>
      <c r="B14" s="32" t="s">
        <v>9</v>
      </c>
      <c r="C14" s="13">
        <f>'[1]LK12T'!$C$11/1000</f>
        <v>1302971</v>
      </c>
      <c r="D14" s="124">
        <f>('[1]LK12T'!$G$11-'[1]LK12T'!$G$33)/1000</f>
        <v>1583235.105</v>
      </c>
      <c r="E14" s="41">
        <f>D14/C14*100</f>
        <v>121.50961955408064</v>
      </c>
      <c r="F14" s="118">
        <f>D14/'[2]BS93'!$D$14*100</f>
        <v>127.05950324944746</v>
      </c>
    </row>
    <row r="15" spans="1:6" ht="12.75">
      <c r="A15" s="11">
        <v>2</v>
      </c>
      <c r="B15" s="32" t="s">
        <v>42</v>
      </c>
      <c r="C15" s="13"/>
      <c r="D15" s="124"/>
      <c r="E15" s="41"/>
      <c r="F15" s="118"/>
    </row>
    <row r="16" spans="1:6" ht="12.75">
      <c r="A16" s="10" t="s">
        <v>2</v>
      </c>
      <c r="B16" s="31" t="s">
        <v>28</v>
      </c>
      <c r="C16" s="28"/>
      <c r="D16" s="123">
        <f>'[1]LK12T'!$G$33/1000</f>
        <v>49952.508</v>
      </c>
      <c r="E16" s="39"/>
      <c r="F16" s="117">
        <f>D16/'[2]BS93'!$D$16*100</f>
        <v>109.74955069757225</v>
      </c>
    </row>
    <row r="17" spans="1:8" ht="12.75">
      <c r="A17" s="10" t="s">
        <v>8</v>
      </c>
      <c r="B17" s="30" t="s">
        <v>13</v>
      </c>
      <c r="C17" s="27">
        <f>SUM(C18,C22,C25)</f>
        <v>1302971</v>
      </c>
      <c r="D17" s="123">
        <f>SUM(D18,D22,D25)</f>
        <v>1139274.898</v>
      </c>
      <c r="E17" s="39">
        <f>D17/C17*100</f>
        <v>87.43670411697575</v>
      </c>
      <c r="F17" s="116">
        <f>D17/'[2]BS93'!$D$17*100</f>
        <v>142.0196749963513</v>
      </c>
      <c r="G17" s="8"/>
      <c r="H17" s="67"/>
    </row>
    <row r="18" spans="1:7" ht="12.75">
      <c r="A18" s="10" t="s">
        <v>1</v>
      </c>
      <c r="B18" s="30" t="s">
        <v>14</v>
      </c>
      <c r="C18" s="27">
        <f>SUM(C19:C21)</f>
        <v>1302971</v>
      </c>
      <c r="D18" s="123">
        <f>SUM(D19:D21)</f>
        <v>1139274.898</v>
      </c>
      <c r="E18" s="39">
        <f>D18/C18*100</f>
        <v>87.43670411697575</v>
      </c>
      <c r="F18" s="116">
        <f>D18/'[2]BS93'!$D$18*100</f>
        <v>142.56582075357144</v>
      </c>
      <c r="G18" s="5"/>
    </row>
    <row r="19" spans="1:7" ht="12.75">
      <c r="A19" s="11">
        <v>1</v>
      </c>
      <c r="B19" s="32" t="s">
        <v>4</v>
      </c>
      <c r="C19" s="12">
        <f>'[1]LK12T'!$O$12/1000</f>
        <v>123293</v>
      </c>
      <c r="D19" s="125">
        <f>'[1]LK12T'!$R$12/1000</f>
        <v>119639</v>
      </c>
      <c r="E19" s="41">
        <f>D19/C19*100</f>
        <v>97.0363280964856</v>
      </c>
      <c r="F19" s="119">
        <f>D19/'[2]BS93'!$D$19*100</f>
        <v>191.03335827347576</v>
      </c>
      <c r="G19" s="5"/>
    </row>
    <row r="20" spans="1:7" ht="12.75">
      <c r="A20" s="11">
        <v>2</v>
      </c>
      <c r="B20" s="32" t="s">
        <v>5</v>
      </c>
      <c r="C20" s="12">
        <f>('[1]LK12T'!$O$16-'[1]LK12T'!$O$72)/1000</f>
        <v>1156048</v>
      </c>
      <c r="D20" s="125">
        <f>'[1]LK12T'!$R$16/1000</f>
        <v>1019635.898</v>
      </c>
      <c r="E20" s="41">
        <f>D20/C20*100</f>
        <v>88.20013511549693</v>
      </c>
      <c r="F20" s="119">
        <f>D20/'[2]BS93'!$D$20*100</f>
        <v>138.4444198896948</v>
      </c>
      <c r="G20" s="97"/>
    </row>
    <row r="21" spans="1:7" ht="12.75">
      <c r="A21" s="11">
        <v>3</v>
      </c>
      <c r="B21" s="32" t="s">
        <v>6</v>
      </c>
      <c r="C21" s="12">
        <v>23630</v>
      </c>
      <c r="D21" s="108"/>
      <c r="E21" s="41">
        <f>D21/C21*100</f>
        <v>0</v>
      </c>
      <c r="F21" s="119"/>
      <c r="G21" s="5"/>
    </row>
    <row r="22" spans="1:7" ht="12.75">
      <c r="A22" s="19" t="s">
        <v>2</v>
      </c>
      <c r="B22" s="71" t="s">
        <v>72</v>
      </c>
      <c r="C22" s="29"/>
      <c r="D22" s="109"/>
      <c r="E22" s="42"/>
      <c r="F22" s="120">
        <f>D22/496*100</f>
        <v>0</v>
      </c>
      <c r="G22" s="5"/>
    </row>
    <row r="23" spans="1:7" ht="12.75" hidden="1">
      <c r="A23" s="68"/>
      <c r="B23" s="69"/>
      <c r="C23" s="70"/>
      <c r="D23" s="110"/>
      <c r="E23" s="41"/>
      <c r="F23" s="119"/>
      <c r="G23" s="5"/>
    </row>
    <row r="24" spans="1:7" ht="12.75" hidden="1">
      <c r="A24" s="11"/>
      <c r="B24" s="32"/>
      <c r="C24" s="12"/>
      <c r="D24" s="108"/>
      <c r="E24" s="41"/>
      <c r="F24" s="119"/>
      <c r="G24" s="5"/>
    </row>
    <row r="25" spans="1:6" ht="12.75" hidden="1">
      <c r="A25" s="19"/>
      <c r="B25" s="33"/>
      <c r="C25" s="29"/>
      <c r="D25" s="109"/>
      <c r="E25" s="42"/>
      <c r="F25" s="120"/>
    </row>
    <row r="26" spans="1:6" ht="12" customHeight="1" hidden="1">
      <c r="A26" s="127"/>
      <c r="B26" s="127"/>
      <c r="C26" s="127"/>
      <c r="D26" s="111"/>
      <c r="E26" s="18"/>
      <c r="F26" s="111"/>
    </row>
    <row r="27" spans="1:6" ht="12.75">
      <c r="A27" s="1" t="s">
        <v>29</v>
      </c>
      <c r="B27" s="7"/>
      <c r="C27" s="7"/>
      <c r="D27" s="112"/>
      <c r="E27" s="7"/>
      <c r="F27" s="112"/>
    </row>
    <row r="28" ht="12.75">
      <c r="A28" s="101" t="s">
        <v>79</v>
      </c>
    </row>
    <row r="29" ht="12.75">
      <c r="A29" s="100" t="s">
        <v>83</v>
      </c>
    </row>
    <row r="30" ht="12.75">
      <c r="A30" s="1" t="s">
        <v>84</v>
      </c>
    </row>
    <row r="32" ht="12.75">
      <c r="D32" s="113"/>
    </row>
    <row r="33" ht="12.75">
      <c r="D33" s="113"/>
    </row>
    <row r="34" ht="12.75">
      <c r="D34" s="113"/>
    </row>
    <row r="35" ht="12.75">
      <c r="D35" s="113"/>
    </row>
    <row r="36" ht="12.75">
      <c r="D36" s="113"/>
    </row>
    <row r="37" ht="12.75">
      <c r="D37" s="113"/>
    </row>
    <row r="38" ht="12.75">
      <c r="D38" s="113"/>
    </row>
    <row r="39" ht="12.75">
      <c r="D39" s="113"/>
    </row>
    <row r="40" ht="12.75">
      <c r="D40" s="113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="120" zoomScaleNormal="120" zoomScalePageLayoutView="0" workbookViewId="0" topLeftCell="A16">
      <selection activeCell="F12" sqref="F12"/>
    </sheetView>
  </sheetViews>
  <sheetFormatPr defaultColWidth="9.140625" defaultRowHeight="12.75"/>
  <cols>
    <col min="1" max="1" width="5.421875" style="1" customWidth="1"/>
    <col min="2" max="2" width="44.28125" style="1" customWidth="1"/>
    <col min="3" max="5" width="9.421875" style="1" customWidth="1"/>
    <col min="6" max="6" width="11.28125" style="1" customWidth="1"/>
    <col min="7" max="7" width="10.140625" style="1" bestFit="1" customWidth="1"/>
    <col min="8" max="16384" width="9.140625" style="1" customWidth="1"/>
  </cols>
  <sheetData>
    <row r="1" spans="1:6" ht="12.75">
      <c r="A1" s="1" t="s">
        <v>75</v>
      </c>
      <c r="F1" s="2" t="s">
        <v>65</v>
      </c>
    </row>
    <row r="2" ht="12.75">
      <c r="A2" s="9" t="s">
        <v>76</v>
      </c>
    </row>
    <row r="3" ht="12.75">
      <c r="A3" s="9" t="s">
        <v>77</v>
      </c>
    </row>
    <row r="4" ht="12.75">
      <c r="A4" s="9"/>
    </row>
    <row r="5" spans="1:6" s="3" customFormat="1" ht="16.5">
      <c r="A5" s="128" t="s">
        <v>80</v>
      </c>
      <c r="B5" s="128"/>
      <c r="C5" s="128"/>
      <c r="D5" s="128"/>
      <c r="E5" s="128"/>
      <c r="F5" s="128"/>
    </row>
    <row r="6" spans="1:6" s="4" customFormat="1" ht="12.75" hidden="1">
      <c r="A6" s="129" t="s">
        <v>55</v>
      </c>
      <c r="B6" s="129"/>
      <c r="C6" s="129"/>
      <c r="D6" s="129"/>
      <c r="E6" s="129"/>
      <c r="F6" s="129"/>
    </row>
    <row r="7" ht="12.75">
      <c r="F7" s="81" t="s">
        <v>27</v>
      </c>
    </row>
    <row r="8" spans="1:6" ht="12.75">
      <c r="A8" s="72" t="s">
        <v>0</v>
      </c>
      <c r="B8" s="72" t="s">
        <v>34</v>
      </c>
      <c r="C8" s="73" t="s">
        <v>18</v>
      </c>
      <c r="D8" s="73" t="s">
        <v>30</v>
      </c>
      <c r="E8" s="74" t="s">
        <v>58</v>
      </c>
      <c r="F8" s="74"/>
    </row>
    <row r="9" spans="1:6" ht="12.75">
      <c r="A9" s="75"/>
      <c r="B9" s="76"/>
      <c r="C9" s="77" t="s">
        <v>31</v>
      </c>
      <c r="D9" s="77" t="s">
        <v>31</v>
      </c>
      <c r="E9" s="77" t="s">
        <v>18</v>
      </c>
      <c r="F9" s="77" t="s">
        <v>32</v>
      </c>
    </row>
    <row r="10" spans="1:6" ht="12.75">
      <c r="A10" s="78"/>
      <c r="B10" s="79"/>
      <c r="C10" s="80"/>
      <c r="D10" s="80"/>
      <c r="E10" s="80" t="s">
        <v>31</v>
      </c>
      <c r="F10" s="80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6" ht="12.75">
      <c r="A12" s="44" t="s">
        <v>7</v>
      </c>
      <c r="B12" s="45" t="s">
        <v>74</v>
      </c>
      <c r="C12" s="46">
        <f>SUM(C13,C30)</f>
        <v>1511000</v>
      </c>
      <c r="D12" s="46">
        <f>SUM(D13,D30)</f>
        <v>1650844</v>
      </c>
      <c r="E12" s="47">
        <f>D12/C12*100</f>
        <v>109.25506287227003</v>
      </c>
      <c r="F12" s="40">
        <f>D12/'[2]BS94'!$D$12*100</f>
        <v>112.92266309177855</v>
      </c>
    </row>
    <row r="13" spans="1:7" ht="12.75">
      <c r="A13" s="10" t="s">
        <v>1</v>
      </c>
      <c r="B13" s="31" t="s">
        <v>9</v>
      </c>
      <c r="C13" s="55">
        <f>SUM(C14:C21,C27:C29)</f>
        <v>1511000</v>
      </c>
      <c r="D13" s="55">
        <f>SUM(D14:D21,D27:D29)</f>
        <v>1650844</v>
      </c>
      <c r="E13" s="39">
        <f>D13/C13*100</f>
        <v>109.25506287227003</v>
      </c>
      <c r="F13" s="40">
        <f>D13/'[2]BS95'!$D$13*100</f>
        <v>206.58220201735512</v>
      </c>
      <c r="G13" s="8"/>
    </row>
    <row r="14" spans="1:8" ht="12.75">
      <c r="A14" s="11">
        <v>1</v>
      </c>
      <c r="B14" s="48" t="s">
        <v>37</v>
      </c>
      <c r="C14" s="53">
        <v>2600</v>
      </c>
      <c r="D14" s="53">
        <f>14666</f>
        <v>14666</v>
      </c>
      <c r="E14" s="41">
        <f aca="true" t="shared" si="0" ref="E14:E21">D14/C14*100</f>
        <v>564.0769230769231</v>
      </c>
      <c r="F14" s="43"/>
      <c r="G14" s="8"/>
      <c r="H14" s="53">
        <f>10130</f>
        <v>10130</v>
      </c>
    </row>
    <row r="15" spans="1:7" ht="12.75">
      <c r="A15" s="11">
        <v>2</v>
      </c>
      <c r="B15" s="48" t="s">
        <v>38</v>
      </c>
      <c r="C15" s="53">
        <v>2600</v>
      </c>
      <c r="D15" s="53">
        <f>18218-14666</f>
        <v>3552</v>
      </c>
      <c r="E15" s="41">
        <f t="shared" si="0"/>
        <v>136.6153846153846</v>
      </c>
      <c r="F15" s="43"/>
      <c r="G15" s="8"/>
    </row>
    <row r="16" spans="1:7" ht="12.75">
      <c r="A16" s="11">
        <v>3</v>
      </c>
      <c r="B16" s="48" t="s">
        <v>39</v>
      </c>
      <c r="C16" s="53">
        <v>764800</v>
      </c>
      <c r="D16" s="53">
        <v>652210</v>
      </c>
      <c r="E16" s="41">
        <f t="shared" si="0"/>
        <v>85.27850418410043</v>
      </c>
      <c r="F16" s="43">
        <f>D16/'[2]BS94'!$D$16*100</f>
        <v>101.05719514028017</v>
      </c>
      <c r="G16" s="8"/>
    </row>
    <row r="17" spans="1:7" ht="12.75">
      <c r="A17" s="11">
        <v>4</v>
      </c>
      <c r="B17" s="48" t="s">
        <v>20</v>
      </c>
      <c r="C17" s="53">
        <v>245000</v>
      </c>
      <c r="D17" s="53">
        <v>219210</v>
      </c>
      <c r="E17" s="41">
        <f t="shared" si="0"/>
        <v>89.4734693877551</v>
      </c>
      <c r="F17" s="43">
        <f>D17/'[2]BS94'!$D$17*100</f>
        <v>102.87233004630873</v>
      </c>
      <c r="G17" s="8"/>
    </row>
    <row r="18" spans="1:7" ht="12.75">
      <c r="A18" s="11">
        <v>5</v>
      </c>
      <c r="B18" s="48" t="s">
        <v>22</v>
      </c>
      <c r="C18" s="53">
        <v>2000</v>
      </c>
      <c r="D18" s="53">
        <v>708</v>
      </c>
      <c r="E18" s="41">
        <f>D18/C18*100</f>
        <v>35.4</v>
      </c>
      <c r="F18" s="43">
        <f>D18/'[2]BS94'!$D$18*100</f>
        <v>26.99322881717806</v>
      </c>
      <c r="G18" s="8"/>
    </row>
    <row r="19" spans="1:7" ht="12.75">
      <c r="A19" s="11">
        <v>6</v>
      </c>
      <c r="B19" s="48" t="s">
        <v>60</v>
      </c>
      <c r="C19" s="53">
        <v>210000</v>
      </c>
      <c r="D19" s="53">
        <v>233069</v>
      </c>
      <c r="E19" s="41">
        <f t="shared" si="0"/>
        <v>110.9852380952381</v>
      </c>
      <c r="F19" s="43">
        <f>D19/'[2]BS94'!$D$19*100</f>
        <v>111.64054897936715</v>
      </c>
      <c r="G19" s="8"/>
    </row>
    <row r="20" spans="1:7" ht="12.75">
      <c r="A20" s="11">
        <v>7</v>
      </c>
      <c r="B20" s="48" t="s">
        <v>61</v>
      </c>
      <c r="C20" s="53">
        <f>47600+17400</f>
        <v>65000</v>
      </c>
      <c r="D20" s="53">
        <f>51263+18917</f>
        <v>70180</v>
      </c>
      <c r="E20" s="41">
        <f t="shared" si="0"/>
        <v>107.96923076923078</v>
      </c>
      <c r="F20" s="43">
        <f>D20/'[2]BS94'!$D$20*100</f>
        <v>144.6028739007307</v>
      </c>
      <c r="G20" s="8"/>
    </row>
    <row r="21" spans="1:7" ht="12.75">
      <c r="A21" s="11">
        <v>8</v>
      </c>
      <c r="B21" s="48" t="s">
        <v>11</v>
      </c>
      <c r="C21" s="53">
        <f>SUM(C22:C26)</f>
        <v>169000</v>
      </c>
      <c r="D21" s="53">
        <f>SUM(D22:D26)</f>
        <v>405562</v>
      </c>
      <c r="E21" s="41">
        <f t="shared" si="0"/>
        <v>239.9775147928994</v>
      </c>
      <c r="F21" s="43">
        <f>D21/'[2]BS94'!$D$21*100</f>
        <v>165.01680244910486</v>
      </c>
      <c r="G21" s="8"/>
    </row>
    <row r="22" spans="1:7" ht="12.75">
      <c r="A22" s="11"/>
      <c r="B22" s="49" t="s">
        <v>10</v>
      </c>
      <c r="C22" s="54"/>
      <c r="D22" s="54"/>
      <c r="E22" s="58"/>
      <c r="F22" s="43"/>
      <c r="G22" s="8"/>
    </row>
    <row r="23" spans="1:7" ht="12.75">
      <c r="A23" s="11"/>
      <c r="B23" s="49" t="s">
        <v>21</v>
      </c>
      <c r="C23" s="54">
        <f>9000</f>
        <v>9000</v>
      </c>
      <c r="D23" s="54">
        <v>12852</v>
      </c>
      <c r="E23" s="58">
        <f>D23/C23*100</f>
        <v>142.79999999999998</v>
      </c>
      <c r="F23" s="66">
        <f>D23/'[2]BS94'!$D$23*100</f>
        <v>107.88578612322854</v>
      </c>
      <c r="G23" s="8"/>
    </row>
    <row r="24" spans="1:7" ht="12.75">
      <c r="A24" s="11"/>
      <c r="B24" s="50" t="s">
        <v>40</v>
      </c>
      <c r="C24" s="54">
        <v>130000</v>
      </c>
      <c r="D24" s="54">
        <v>124485</v>
      </c>
      <c r="E24" s="58">
        <f>D24/C24*100</f>
        <v>95.75769230769231</v>
      </c>
      <c r="F24" s="66">
        <f>D24/'[2]BS94'!$D$24*100</f>
        <v>78.48106454632394</v>
      </c>
      <c r="G24" s="8"/>
    </row>
    <row r="25" spans="1:7" ht="12.75">
      <c r="A25" s="11"/>
      <c r="B25" s="50" t="s">
        <v>62</v>
      </c>
      <c r="C25" s="54">
        <f>30000</f>
        <v>30000</v>
      </c>
      <c r="D25" s="54">
        <v>268225</v>
      </c>
      <c r="E25" s="58">
        <f>D25/C25*100</f>
        <v>894.0833333333334</v>
      </c>
      <c r="F25" s="66">
        <f>D25/'[2]BS94'!$D$25*100</f>
        <v>356.4942296978081</v>
      </c>
      <c r="G25" s="8"/>
    </row>
    <row r="26" spans="1:7" ht="12.75">
      <c r="A26" s="11"/>
      <c r="B26" s="50" t="s">
        <v>63</v>
      </c>
      <c r="C26" s="54"/>
      <c r="D26" s="54"/>
      <c r="E26" s="41"/>
      <c r="F26" s="43"/>
      <c r="G26" s="8"/>
    </row>
    <row r="27" spans="1:7" ht="12.75">
      <c r="A27" s="11">
        <v>9</v>
      </c>
      <c r="B27" s="48" t="s">
        <v>19</v>
      </c>
      <c r="C27" s="53"/>
      <c r="D27" s="53"/>
      <c r="E27" s="41"/>
      <c r="F27" s="43"/>
      <c r="G27" s="8"/>
    </row>
    <row r="28" spans="1:7" ht="12.75">
      <c r="A28" s="21">
        <v>10</v>
      </c>
      <c r="B28" s="48" t="s">
        <v>12</v>
      </c>
      <c r="C28" s="53">
        <v>50000</v>
      </c>
      <c r="D28" s="53">
        <v>51687</v>
      </c>
      <c r="E28" s="41">
        <f>D28/C28*100</f>
        <v>103.37400000000001</v>
      </c>
      <c r="F28" s="43">
        <f>D28/'[2]BS94'!$D$28*100</f>
        <v>64.26598176299366</v>
      </c>
      <c r="G28" s="8"/>
    </row>
    <row r="29" spans="1:7" ht="12.75">
      <c r="A29" s="11">
        <v>11</v>
      </c>
      <c r="B29" s="48" t="s">
        <v>41</v>
      </c>
      <c r="C29" s="53"/>
      <c r="D29" s="53"/>
      <c r="E29" s="41"/>
      <c r="F29" s="43">
        <f>D29/13093*100</f>
        <v>0</v>
      </c>
      <c r="G29" s="8"/>
    </row>
    <row r="30" spans="1:7" ht="12.75">
      <c r="A30" s="10" t="s">
        <v>2</v>
      </c>
      <c r="B30" s="31" t="s">
        <v>42</v>
      </c>
      <c r="C30" s="55"/>
      <c r="D30" s="55"/>
      <c r="E30" s="39"/>
      <c r="F30" s="40"/>
      <c r="G30" s="8"/>
    </row>
    <row r="31" spans="1:7" ht="12.75">
      <c r="A31" s="10" t="s">
        <v>8</v>
      </c>
      <c r="B31" s="31" t="s">
        <v>43</v>
      </c>
      <c r="C31" s="27">
        <f>SUM(C32:C33)</f>
        <v>203048</v>
      </c>
      <c r="D31" s="27">
        <f>SUM(D32:D33)</f>
        <v>199503</v>
      </c>
      <c r="E31" s="39">
        <f>D31/C31*100</f>
        <v>98.25410740317561</v>
      </c>
      <c r="F31" s="39">
        <f>D31/'[2]BS94'!$D$31*100</f>
        <v>85.21519141305879</v>
      </c>
      <c r="G31" s="8"/>
    </row>
    <row r="32" spans="1:7" ht="12.75">
      <c r="A32" s="11">
        <v>1</v>
      </c>
      <c r="B32" s="48" t="s">
        <v>44</v>
      </c>
      <c r="C32" s="12">
        <f>97110+40014</f>
        <v>137124</v>
      </c>
      <c r="D32" s="12">
        <f>413</f>
        <v>413</v>
      </c>
      <c r="E32" s="126">
        <f>D32/C32*100</f>
        <v>0.30118724657973805</v>
      </c>
      <c r="F32" s="41">
        <f>D32/'[2]BS94'!$D$32*100</f>
        <v>0.35681144275117205</v>
      </c>
      <c r="G32" s="5"/>
    </row>
    <row r="33" spans="1:7" ht="12.75">
      <c r="A33" s="14">
        <v>2</v>
      </c>
      <c r="B33" s="51" t="s">
        <v>45</v>
      </c>
      <c r="C33" s="6">
        <f>700+25200+9000+5603+17400+8021</f>
        <v>65924</v>
      </c>
      <c r="D33" s="6">
        <f>117727+26666+12852+5375+18917+17553</f>
        <v>199090</v>
      </c>
      <c r="E33" s="52">
        <f>D33/C33*100</f>
        <v>301.9992718888417</v>
      </c>
      <c r="F33" s="52">
        <f>D33/'[2]BS94'!$D$33*100</f>
        <v>168.19395177962448</v>
      </c>
      <c r="G33" s="5"/>
    </row>
    <row r="34" spans="1:6" s="57" customFormat="1" ht="12" customHeight="1" hidden="1">
      <c r="A34" s="56"/>
      <c r="B34" s="56"/>
      <c r="C34" s="56"/>
      <c r="D34" s="56"/>
      <c r="E34" s="56"/>
      <c r="F34" s="56"/>
    </row>
    <row r="35" spans="2:6" ht="12.75">
      <c r="B35" s="7"/>
      <c r="C35" s="7"/>
      <c r="D35" s="7"/>
      <c r="E35" s="7"/>
      <c r="F35" s="7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zoomScale="120" zoomScaleNormal="120" zoomScalePageLayoutView="0" workbookViewId="0" topLeftCell="A10">
      <selection activeCell="C17" sqref="C17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9.28125" style="1" bestFit="1" customWidth="1"/>
    <col min="10" max="16384" width="9.140625" style="1" customWidth="1"/>
  </cols>
  <sheetData>
    <row r="1" spans="1:6" ht="12.75">
      <c r="A1" s="1" t="s">
        <v>75</v>
      </c>
      <c r="F1" s="2" t="s">
        <v>64</v>
      </c>
    </row>
    <row r="2" ht="12.75">
      <c r="A2" s="9" t="s">
        <v>76</v>
      </c>
    </row>
    <row r="3" ht="12.75">
      <c r="A3" s="9" t="s">
        <v>77</v>
      </c>
    </row>
    <row r="5" spans="1:6" s="3" customFormat="1" ht="16.5">
      <c r="A5" s="128" t="s">
        <v>82</v>
      </c>
      <c r="B5" s="128"/>
      <c r="C5" s="128"/>
      <c r="D5" s="128"/>
      <c r="E5" s="128"/>
      <c r="F5" s="128"/>
    </row>
    <row r="6" spans="1:6" s="4" customFormat="1" ht="12.75" hidden="1">
      <c r="A6" s="129" t="s">
        <v>55</v>
      </c>
      <c r="B6" s="129"/>
      <c r="C6" s="129"/>
      <c r="D6" s="129"/>
      <c r="E6" s="129"/>
      <c r="F6" s="129"/>
    </row>
    <row r="7" ht="12.75">
      <c r="F7" s="81" t="s">
        <v>27</v>
      </c>
    </row>
    <row r="8" spans="1:6" ht="12.75">
      <c r="A8" s="20" t="s">
        <v>0</v>
      </c>
      <c r="B8" s="20" t="s">
        <v>34</v>
      </c>
      <c r="C8" s="35" t="s">
        <v>18</v>
      </c>
      <c r="D8" s="35" t="s">
        <v>30</v>
      </c>
      <c r="E8" s="17" t="s">
        <v>36</v>
      </c>
      <c r="F8" s="17"/>
    </row>
    <row r="9" spans="1:6" ht="12.75">
      <c r="A9" s="21"/>
      <c r="B9" s="22"/>
      <c r="C9" s="34" t="s">
        <v>31</v>
      </c>
      <c r="D9" s="34" t="s">
        <v>31</v>
      </c>
      <c r="E9" s="34" t="s">
        <v>18</v>
      </c>
      <c r="F9" s="34" t="s">
        <v>32</v>
      </c>
    </row>
    <row r="10" spans="1:6" ht="12.75">
      <c r="A10" s="23"/>
      <c r="B10" s="24"/>
      <c r="C10" s="37"/>
      <c r="D10" s="37"/>
      <c r="E10" s="37" t="s">
        <v>31</v>
      </c>
      <c r="F10" s="37" t="s">
        <v>33</v>
      </c>
    </row>
    <row r="11" spans="1:6" ht="12.75">
      <c r="A11" s="16" t="s">
        <v>7</v>
      </c>
      <c r="B11" s="26" t="s">
        <v>8</v>
      </c>
      <c r="C11" s="38" t="s">
        <v>24</v>
      </c>
      <c r="D11" s="38" t="s">
        <v>25</v>
      </c>
      <c r="E11" s="38" t="s">
        <v>35</v>
      </c>
      <c r="F11" s="38" t="s">
        <v>26</v>
      </c>
    </row>
    <row r="12" spans="1:9" ht="12.75">
      <c r="A12" s="44"/>
      <c r="B12" s="45" t="s">
        <v>13</v>
      </c>
      <c r="C12" s="46">
        <f>SUM(C13,C30)</f>
        <v>1302971</v>
      </c>
      <c r="D12" s="46">
        <f>SUM(D13,D30)</f>
        <v>1139275.06</v>
      </c>
      <c r="E12" s="47">
        <f>D12/C12*100</f>
        <v>87.43671655009973</v>
      </c>
      <c r="F12" s="47">
        <f>D12/'[2]BS95'!$D$12*100</f>
        <v>142.01968757826967</v>
      </c>
      <c r="I12" s="8"/>
    </row>
    <row r="13" spans="1:6" ht="12.75">
      <c r="A13" s="15" t="s">
        <v>7</v>
      </c>
      <c r="B13" s="59" t="s">
        <v>46</v>
      </c>
      <c r="C13" s="25">
        <f>SUM(C14,C17,C29)</f>
        <v>1302971</v>
      </c>
      <c r="D13" s="25">
        <f>SUM(D14,D17,D29)</f>
        <v>1139275.06</v>
      </c>
      <c r="E13" s="39">
        <f aca="true" t="shared" si="0" ref="E13:E29">D13/C13*100</f>
        <v>87.43671655009973</v>
      </c>
      <c r="F13" s="39">
        <f>D13/'[2]BS95'!$D$13*100</f>
        <v>142.56583335448678</v>
      </c>
    </row>
    <row r="14" spans="1:9" ht="12.75">
      <c r="A14" s="10" t="s">
        <v>1</v>
      </c>
      <c r="B14" s="31" t="s">
        <v>4</v>
      </c>
      <c r="C14" s="55">
        <f>SUM(C15:C16)</f>
        <v>123293</v>
      </c>
      <c r="D14" s="55">
        <f>SUM(D15:D16)</f>
        <v>119639</v>
      </c>
      <c r="E14" s="39">
        <f t="shared" si="0"/>
        <v>97.0363280964856</v>
      </c>
      <c r="F14" s="40">
        <f>D14/'[2]BS95'!$D$14*100</f>
        <v>191.03335827347576</v>
      </c>
      <c r="G14" s="67"/>
      <c r="I14" s="102"/>
    </row>
    <row r="15" spans="1:7" ht="12.75">
      <c r="A15" s="11">
        <v>1</v>
      </c>
      <c r="B15" s="48" t="s">
        <v>47</v>
      </c>
      <c r="C15" s="96">
        <f>'BS93'!C19</f>
        <v>123293</v>
      </c>
      <c r="D15" s="96">
        <f>119639-2500-77</f>
        <v>117062</v>
      </c>
      <c r="E15" s="41">
        <f>D15/C15*100</f>
        <v>94.94618510377718</v>
      </c>
      <c r="F15" s="43">
        <f>D15/'[2]BS95'!$D$15*100</f>
        <v>187.65564965465123</v>
      </c>
      <c r="G15" s="8"/>
    </row>
    <row r="16" spans="1:7" s="65" customFormat="1" ht="12.75">
      <c r="A16" s="60">
        <v>2</v>
      </c>
      <c r="B16" s="61" t="s">
        <v>48</v>
      </c>
      <c r="C16" s="62"/>
      <c r="D16" s="62">
        <f>2500+77</f>
        <v>2577</v>
      </c>
      <c r="E16" s="41"/>
      <c r="F16" s="12">
        <f>D16/'[2]BS95'!$D$16*100</f>
        <v>1047.5609756097563</v>
      </c>
      <c r="G16" s="64"/>
    </row>
    <row r="17" spans="1:8" ht="12.75">
      <c r="A17" s="10" t="s">
        <v>2</v>
      </c>
      <c r="B17" s="31" t="s">
        <v>5</v>
      </c>
      <c r="C17" s="55">
        <f>SUM(C19:C28)+57326+9626</f>
        <v>1156048</v>
      </c>
      <c r="D17" s="55">
        <f>SUM(D19:D28)+3130+22571+30041+30206</f>
        <v>1019636.06</v>
      </c>
      <c r="E17" s="39">
        <f>D17/C17*100</f>
        <v>88.2001491287559</v>
      </c>
      <c r="F17" s="40">
        <f>D17/'[2]BS95'!$D$17*100</f>
        <v>138.4444338027461</v>
      </c>
      <c r="G17" s="8">
        <f>811300-23630</f>
        <v>787670</v>
      </c>
      <c r="H17" s="98">
        <f>811300-23630-1777</f>
        <v>785893</v>
      </c>
    </row>
    <row r="18" spans="1:8" s="65" customFormat="1" ht="12.75">
      <c r="A18" s="60"/>
      <c r="B18" s="86" t="s">
        <v>49</v>
      </c>
      <c r="C18" s="62"/>
      <c r="D18" s="62"/>
      <c r="E18" s="41"/>
      <c r="F18" s="63"/>
      <c r="G18" s="64">
        <f>811300-23630</f>
        <v>787670</v>
      </c>
      <c r="H18" s="99">
        <f>C17-H17</f>
        <v>370155</v>
      </c>
    </row>
    <row r="19" spans="1:7" ht="12.75">
      <c r="A19" s="87">
        <v>1</v>
      </c>
      <c r="B19" s="88" t="s">
        <v>15</v>
      </c>
      <c r="C19" s="53">
        <v>512864</v>
      </c>
      <c r="D19" s="83">
        <f>'[1]LK12T'!$R$30/1000</f>
        <v>415115.066</v>
      </c>
      <c r="E19" s="84">
        <f t="shared" si="0"/>
        <v>80.94057410931553</v>
      </c>
      <c r="F19" s="85">
        <f>D19/'[2]BS95'!$D$19*100</f>
        <v>152.73189472885693</v>
      </c>
      <c r="G19" s="8">
        <f>G17-C17</f>
        <v>-368378</v>
      </c>
    </row>
    <row r="20" spans="1:7" ht="12.75">
      <c r="A20" s="87">
        <v>2</v>
      </c>
      <c r="B20" s="89" t="s">
        <v>16</v>
      </c>
      <c r="C20" s="53"/>
      <c r="D20" s="83"/>
      <c r="E20" s="84"/>
      <c r="F20" s="85"/>
      <c r="G20" s="8">
        <f>G19-144203</f>
        <v>-512581</v>
      </c>
    </row>
    <row r="21" spans="1:7" ht="12.75">
      <c r="A21" s="87">
        <v>3</v>
      </c>
      <c r="B21" s="88" t="s">
        <v>50</v>
      </c>
      <c r="C21" s="96">
        <f>108489</f>
        <v>108489</v>
      </c>
      <c r="D21" s="83">
        <f>'[1]LK12T'!$R$35/1000</f>
        <v>99686.014</v>
      </c>
      <c r="E21" s="84">
        <f t="shared" si="0"/>
        <v>91.88582621279576</v>
      </c>
      <c r="F21" s="85">
        <f>D21/'[2]BS95'!$D$21*100</f>
        <v>150.21662181360648</v>
      </c>
      <c r="G21" s="8"/>
    </row>
    <row r="22" spans="1:7" ht="12.75">
      <c r="A22" s="87">
        <v>4</v>
      </c>
      <c r="B22" s="89" t="s">
        <v>51</v>
      </c>
      <c r="C22" s="53">
        <v>5289</v>
      </c>
      <c r="D22" s="83">
        <f>'[1]LK12T'!$R$41/1000</f>
        <v>4747.838</v>
      </c>
      <c r="E22" s="84">
        <f t="shared" si="0"/>
        <v>89.76816033276612</v>
      </c>
      <c r="F22" s="85">
        <f>D22/'[2]BS95'!$D$22*100</f>
        <v>114.60550752806218</v>
      </c>
      <c r="G22" s="8"/>
    </row>
    <row r="23" spans="1:7" ht="12.75">
      <c r="A23" s="87">
        <v>5</v>
      </c>
      <c r="B23" s="88" t="s">
        <v>52</v>
      </c>
      <c r="C23" s="53"/>
      <c r="D23" s="83"/>
      <c r="E23" s="84"/>
      <c r="F23" s="85"/>
      <c r="G23" s="8"/>
    </row>
    <row r="24" spans="1:7" ht="12.75">
      <c r="A24" s="87">
        <v>6</v>
      </c>
      <c r="B24" s="88" t="s">
        <v>53</v>
      </c>
      <c r="C24" s="53">
        <v>2408</v>
      </c>
      <c r="D24" s="83">
        <f>'[1]LK12T'!$R$46/1000</f>
        <v>1460.268</v>
      </c>
      <c r="E24" s="84">
        <f t="shared" si="0"/>
        <v>60.64235880398671</v>
      </c>
      <c r="F24" s="85">
        <f>D24/'[2]BS95'!$D$24*100</f>
        <v>252.02149728522562</v>
      </c>
      <c r="G24" s="8"/>
    </row>
    <row r="25" spans="1:7" ht="12.75">
      <c r="A25" s="87">
        <v>7</v>
      </c>
      <c r="B25" s="88" t="s">
        <v>23</v>
      </c>
      <c r="C25" s="53">
        <v>80604</v>
      </c>
      <c r="D25" s="83">
        <f>'[1]LK12T'!$R$25/1000</f>
        <v>73531.887</v>
      </c>
      <c r="E25" s="84">
        <f t="shared" si="0"/>
        <v>91.22610168229865</v>
      </c>
      <c r="F25" s="85">
        <f>D25/'[2]BS95'!$D$25*100</f>
        <v>159.94218085192117</v>
      </c>
      <c r="G25" s="8"/>
    </row>
    <row r="26" spans="1:7" ht="12.75">
      <c r="A26" s="87">
        <v>8</v>
      </c>
      <c r="B26" s="88" t="s">
        <v>17</v>
      </c>
      <c r="C26" s="53">
        <f>50529+6613+2904+421</f>
        <v>60467</v>
      </c>
      <c r="D26" s="83">
        <f>('[1]LK12T'!$R$18+'[1]LK12T'!$R$22+'[1]LK12T'!$R$24+'[1]LK12T'!$R$29)/1000</f>
        <v>48670.616</v>
      </c>
      <c r="E26" s="84">
        <f t="shared" si="0"/>
        <v>80.49120346635355</v>
      </c>
      <c r="F26" s="85">
        <f>D26/'[2]BS95'!$D$26*100</f>
        <v>113.42678849082475</v>
      </c>
      <c r="G26" s="8"/>
    </row>
    <row r="27" spans="1:9" ht="25.5">
      <c r="A27" s="87">
        <v>9</v>
      </c>
      <c r="B27" s="82" t="s">
        <v>66</v>
      </c>
      <c r="C27" s="83">
        <v>219341</v>
      </c>
      <c r="D27" s="83">
        <f>'[1]LK12T'!$R$57/1000</f>
        <v>193196.265</v>
      </c>
      <c r="E27" s="84">
        <f t="shared" si="0"/>
        <v>88.08032469989652</v>
      </c>
      <c r="F27" s="85">
        <f>D27/'[2]BS95'!$D$27*100</f>
        <v>126.09169322410085</v>
      </c>
      <c r="G27" s="8"/>
      <c r="I27" s="8"/>
    </row>
    <row r="28" spans="1:7" ht="12.75">
      <c r="A28" s="87">
        <v>10</v>
      </c>
      <c r="B28" s="88" t="s">
        <v>54</v>
      </c>
      <c r="C28" s="83">
        <f>99634</f>
        <v>99634</v>
      </c>
      <c r="D28" s="83">
        <f>'[1]LK12T'!$R$49/1000</f>
        <v>97280.106</v>
      </c>
      <c r="E28" s="84">
        <f t="shared" si="0"/>
        <v>97.63745910030713</v>
      </c>
      <c r="F28" s="85">
        <f>D28/'[2]BS95'!$D$28*100</f>
        <v>97.97785332288184</v>
      </c>
      <c r="G28" s="8"/>
    </row>
    <row r="29" spans="1:7" ht="12.75">
      <c r="A29" s="10" t="s">
        <v>3</v>
      </c>
      <c r="B29" s="31" t="s">
        <v>67</v>
      </c>
      <c r="C29" s="55">
        <v>23630</v>
      </c>
      <c r="D29" s="55"/>
      <c r="E29" s="39">
        <f t="shared" si="0"/>
        <v>0</v>
      </c>
      <c r="F29" s="40"/>
      <c r="G29" s="8"/>
    </row>
    <row r="30" spans="1:6" ht="25.5">
      <c r="A30" s="91" t="s">
        <v>8</v>
      </c>
      <c r="B30" s="90" t="s">
        <v>68</v>
      </c>
      <c r="C30" s="92">
        <f>SUM(C31:C32)</f>
        <v>0</v>
      </c>
      <c r="D30" s="92">
        <f>SUM(D31:D32)</f>
        <v>0</v>
      </c>
      <c r="E30" s="93"/>
      <c r="F30" s="93">
        <f>D30/496*100</f>
        <v>0</v>
      </c>
    </row>
    <row r="31" spans="1:7" ht="12.75">
      <c r="A31" s="87">
        <v>1</v>
      </c>
      <c r="B31" s="88" t="s">
        <v>69</v>
      </c>
      <c r="C31" s="12"/>
      <c r="D31" s="83"/>
      <c r="E31" s="84"/>
      <c r="F31" s="84"/>
      <c r="G31" s="8"/>
    </row>
    <row r="32" spans="1:7" ht="12.75">
      <c r="A32" s="87">
        <v>2</v>
      </c>
      <c r="B32" s="88" t="s">
        <v>70</v>
      </c>
      <c r="C32" s="94">
        <f>SUM(C33)</f>
        <v>0</v>
      </c>
      <c r="D32" s="94">
        <f>SUM(D33)</f>
        <v>0</v>
      </c>
      <c r="E32" s="93"/>
      <c r="F32" s="93">
        <f>D32/385*100</f>
        <v>0</v>
      </c>
      <c r="G32" s="8"/>
    </row>
    <row r="33" spans="1:7" ht="12.75">
      <c r="A33" s="87">
        <v>3</v>
      </c>
      <c r="B33" s="88" t="s">
        <v>71</v>
      </c>
      <c r="C33" s="95"/>
      <c r="D33" s="95"/>
      <c r="E33" s="84"/>
      <c r="F33" s="84">
        <f>D33/385*100</f>
        <v>0</v>
      </c>
      <c r="G33" s="8"/>
    </row>
    <row r="34" spans="1:7" ht="12.75">
      <c r="A34" s="19"/>
      <c r="B34" s="33"/>
      <c r="C34" s="29"/>
      <c r="D34" s="29"/>
      <c r="E34" s="42"/>
      <c r="F34" s="52">
        <f>D34/385*100</f>
        <v>0</v>
      </c>
      <c r="G34" s="5"/>
    </row>
    <row r="35" spans="1:6" s="57" customFormat="1" ht="12" customHeight="1">
      <c r="A35" s="56"/>
      <c r="B35" s="56"/>
      <c r="C35" s="56"/>
      <c r="D35" s="56"/>
      <c r="E35" s="56"/>
      <c r="F35" s="56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2020-01-15T09:31:13Z</cp:lastPrinted>
  <dcterms:created xsi:type="dcterms:W3CDTF">2001-08-16T01:23:45Z</dcterms:created>
  <dcterms:modified xsi:type="dcterms:W3CDTF">2020-01-15T10:02:33Z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2020-02-13T00:00:00Z</vt:lpwstr>
  </property>
  <property fmtid="{D5CDD505-2E9C-101B-9397-08002B2CF9AE}" pid="4" name="ContentTy">
    <vt:lpwstr>Hình ảnh</vt:lpwstr>
  </property>
  <property fmtid="{D5CDD505-2E9C-101B-9397-08002B2CF9AE}" pid="5" name="Ngày g">
    <vt:lpwstr>2020-02-13T10:58:00Z</vt:lpwstr>
  </property>
</Properties>
</file>