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7770" activeTab="2"/>
  </bookViews>
  <sheets>
    <sheet name="BS93" sheetId="1" r:id="rId1"/>
    <sheet name="BS94" sheetId="2" r:id="rId2"/>
    <sheet name="BS95" sheetId="3" r:id="rId3"/>
  </sheets>
  <externalReferences>
    <externalReference r:id="rId6"/>
    <externalReference r:id="rId7"/>
  </externalReferences>
  <definedNames>
    <definedName name="_xlnm.Print_Titles" localSheetId="0">'BS93'!$8:$8</definedName>
    <definedName name="_xlnm.Print_Titles" localSheetId="1">'BS94'!$8:$8</definedName>
    <definedName name="_xlnm.Print_Titles" localSheetId="2">'BS95'!$8:$8</definedName>
  </definedNames>
  <calcPr fullCalcOnLoad="1"/>
</workbook>
</file>

<file path=xl/sharedStrings.xml><?xml version="1.0" encoding="utf-8"?>
<sst xmlns="http://schemas.openxmlformats.org/spreadsheetml/2006/main" count="146" uniqueCount="86">
  <si>
    <t>STT</t>
  </si>
  <si>
    <t>I</t>
  </si>
  <si>
    <t>II</t>
  </si>
  <si>
    <t>III</t>
  </si>
  <si>
    <t>Chi đầu tư phát triển</t>
  </si>
  <si>
    <t>Chi thường xuyên</t>
  </si>
  <si>
    <t>Dự phòng</t>
  </si>
  <si>
    <t>A</t>
  </si>
  <si>
    <t>B</t>
  </si>
  <si>
    <t>Thu nội địa</t>
  </si>
  <si>
    <t>Thuế sử dụng đất nông nghiệp</t>
  </si>
  <si>
    <t>Các khoản thu về nhà, đất</t>
  </si>
  <si>
    <t>Thu khác ngân sách</t>
  </si>
  <si>
    <t>TỔNG CHI NGÂN SÁCH QUẬN</t>
  </si>
  <si>
    <t>Tổng chi cân đối ngân sách quận</t>
  </si>
  <si>
    <t>Chi giáo dục, đào tạo và dạy nghề</t>
  </si>
  <si>
    <t>Chi khoa học công nghệ</t>
  </si>
  <si>
    <t>Chi sự nghiệp kinh tế</t>
  </si>
  <si>
    <t>Dự toán</t>
  </si>
  <si>
    <t>Thu từ hoạt động xổ số kiến thiết</t>
  </si>
  <si>
    <t>Thuế thu nhập cá nhân</t>
  </si>
  <si>
    <t>Thuế sử dụng đất phi nông nghiệp</t>
  </si>
  <si>
    <t>Thuế bảo vệ môi trường</t>
  </si>
  <si>
    <t>Chi sự nghiệp bảo vệ môi trường</t>
  </si>
  <si>
    <t>1</t>
  </si>
  <si>
    <t>2</t>
  </si>
  <si>
    <t>4</t>
  </si>
  <si>
    <t>ĐV: Triệu đồng</t>
  </si>
  <si>
    <t>Thu chuyển nguồn từ năm trước chuyển sang</t>
  </si>
  <si>
    <t>Ngân sách quận bao gồm ngân sách cấp quận và ngân sách phường, không tính ghi thu ghi chi.</t>
  </si>
  <si>
    <t>Thực hiện</t>
  </si>
  <si>
    <t>năm</t>
  </si>
  <si>
    <t>Cùng kỳ</t>
  </si>
  <si>
    <t>năm trước</t>
  </si>
  <si>
    <t>Nội dung</t>
  </si>
  <si>
    <t>3=2/1</t>
  </si>
  <si>
    <t>So sánh (%)</t>
  </si>
  <si>
    <t>Thu từ khu vực doanh nghiệp nhà nước</t>
  </si>
  <si>
    <t>Thu từ khu vực doanh nghiệp có vốn đầu tư nước ngoài</t>
  </si>
  <si>
    <t>Thu từ khu vực kinh tế ngoài quốc doanh</t>
  </si>
  <si>
    <t>Thu tiền sử dụng đất</t>
  </si>
  <si>
    <t>Thu quỹ đất công ích, hoa lợi công sản khác</t>
  </si>
  <si>
    <t>Thu viện trợ</t>
  </si>
  <si>
    <t>THU NS QUẬN ĐƯỢC HƯỞNG THEO PHÂN CẤP</t>
  </si>
  <si>
    <t>Từ các khoản thu phân chia</t>
  </si>
  <si>
    <t>Các khoản thu hưởng 100%</t>
  </si>
  <si>
    <t>CHI CÂN ĐỐI NGÂN SÁCH QUẬN</t>
  </si>
  <si>
    <t>Chi đầu tư cho các dự án</t>
  </si>
  <si>
    <t>Chi đầu tư phát triển khác</t>
  </si>
  <si>
    <t>Trong đó:</t>
  </si>
  <si>
    <t>Chi y tế, dân số và gia đình</t>
  </si>
  <si>
    <t>Chi sự nghiệp văn hóa thông tin</t>
  </si>
  <si>
    <t>Chi sự nghiệp phát thanh, truyền hình</t>
  </si>
  <si>
    <t>Chi sự nghiệp thể dục thể thao</t>
  </si>
  <si>
    <t>Chi bảo đảm xã hội</t>
  </si>
  <si>
    <t>(Kèm theo Thông báo số                  /TB-UBND ngày           tháng 4 năm 2017 của Ủy ban nhân dân Quận 8)</t>
  </si>
  <si>
    <t>Biểu số 93/CK-NSNN</t>
  </si>
  <si>
    <t>Dự toán năm</t>
  </si>
  <si>
    <t>So sánh thực hiện với (%)</t>
  </si>
  <si>
    <t>Thu cân đối NSNN</t>
  </si>
  <si>
    <t>Lệ phí trước bạ</t>
  </si>
  <si>
    <t>Thu phí, lệ phí</t>
  </si>
  <si>
    <t>Tiền cho thuê đất, thuê mặt nước</t>
  </si>
  <si>
    <t>Tiền cho thuê và tiền bán nhà ở thuộc sở hữu nhà nước</t>
  </si>
  <si>
    <t>Biểu số 95/CK-NSNN</t>
  </si>
  <si>
    <t>Biểu số 94/CK-NSNN</t>
  </si>
  <si>
    <t>Chi hoạt động của cơ quan quản lý hành chính, đảng, đoàn thể</t>
  </si>
  <si>
    <t>Dự phòng ngân sách</t>
  </si>
  <si>
    <t>CHI TỪ NGUỒN BỔ SUNG CÓ MỤC TIÊU TỪ NGÂN SÁCH CẤP TRÊN</t>
  </si>
  <si>
    <t>Chương trình mục tiêu quốc gia</t>
  </si>
  <si>
    <t>Cho các chương trình dự án quan trọng vốn đầu tư</t>
  </si>
  <si>
    <t>Cho các nhiệm vụ, chính sách kinh phí thường xuyên</t>
  </si>
  <si>
    <t>Chi từ nguồn bổ sung có mục tiêu từ NS cấp trên</t>
  </si>
  <si>
    <t xml:space="preserve">TỔNG NGUỒN THU NSNN TRÊN ĐỊA BÀN </t>
  </si>
  <si>
    <t xml:space="preserve">TỔNG THU NSNN TRÊN ĐỊA BÀN </t>
  </si>
  <si>
    <t xml:space="preserve">     ỦY BAN NHÂN DÂN QUẬN 8</t>
  </si>
  <si>
    <t>PHÒNG TÀI CHÍNH - KẾ HOẠCH</t>
  </si>
  <si>
    <t xml:space="preserve">                   _______</t>
  </si>
  <si>
    <t xml:space="preserve">                   __________</t>
  </si>
  <si>
    <t>Dự toán chi đầu tư phát triển: được giao theo Quyết định số 5514/QĐ-UBND ngày 31/12/2019 của UBND TPHCM</t>
  </si>
  <si>
    <t>IV</t>
  </si>
  <si>
    <t>Chi nộp ngân sách cấp trên</t>
  </si>
  <si>
    <t>CÂN ĐỐI NGÂN SÁCH QUẬN 9 THÁNG  NĂM 2020</t>
  </si>
  <si>
    <t>THỰC HIỆN THU NGÂN SÁCH NHÀ NƯỚC 9 THÁNG NĂM 2020</t>
  </si>
  <si>
    <t>9 tháng</t>
  </si>
  <si>
    <t>THỰC HIỆN CHI NGÂN SÁCH QUẬN 9 THÁNG  NĂM 2020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</si>
</sst>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[Red]\(#,##0.0\)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  <numFmt numFmtId="179" formatCode="#,##0.0000"/>
    <numFmt numFmtId="180" formatCode="#,##0.00000"/>
    <numFmt numFmtId="181" formatCode="_-* #,##0\ &quot;Ft&quot;_-;\-* #,##0\ &quot;Ft&quot;_-;_-* &quot;-&quot;\ &quot;Ft&quot;_-;_-@_-"/>
    <numFmt numFmtId="182" formatCode="_-* #,##0\ _F_t_-;\-* #,##0\ _F_t_-;_-* &quot;-&quot;\ _F_t_-;_-@_-"/>
    <numFmt numFmtId="183" formatCode="_-* #,##0.00\ &quot;Ft&quot;_-;\-* #,##0.00\ &quot;Ft&quot;_-;_-* &quot;-&quot;??\ &quot;Ft&quot;_-;_-@_-"/>
    <numFmt numFmtId="184" formatCode="_-* #,##0.00\ _F_t_-;\-* #,##0.00\ _F_t_-;_-* &quot;-&quot;??\ _F_t_-;_-@_-"/>
    <numFmt numFmtId="185" formatCode="0.000"/>
    <numFmt numFmtId="186" formatCode="_-* #,##0\ _F_t_-;\-* #,##0\ _F_t_-;_-* &quot;-&quot;??\ _F_t_-;_-@_-"/>
    <numFmt numFmtId="187" formatCode="#,##0;[Red]#,##0"/>
    <numFmt numFmtId="188" formatCode="_-* #,##0.000\ _F_t_-;\-* #,##0.000\ _F_t_-;_-* &quot;-&quot;??\ _F_t_-;_-@_-"/>
    <numFmt numFmtId="189" formatCode="#,##0.0;[Red]\-#,##0.0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VNI-Times"/>
      <family val="0"/>
    </font>
    <font>
      <sz val="9"/>
      <name val="Times New Roman"/>
      <family val="1"/>
    </font>
    <font>
      <sz val="10"/>
      <name val="Arial"/>
      <family val="2"/>
    </font>
    <font>
      <b/>
      <sz val="10"/>
      <color indexed="1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3" fontId="6" fillId="0" borderId="10" xfId="43" applyNumberFormat="1" applyFont="1" applyFill="1" applyBorder="1" applyAlignment="1">
      <alignment/>
    </xf>
    <xf numFmtId="3" fontId="6" fillId="0" borderId="0" xfId="43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6" fillId="0" borderId="11" xfId="43" applyNumberFormat="1" applyFont="1" applyFill="1" applyBorder="1" applyAlignment="1">
      <alignment/>
    </xf>
    <xf numFmtId="3" fontId="6" fillId="0" borderId="11" xfId="43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3" fontId="9" fillId="0" borderId="12" xfId="43" applyNumberFormat="1" applyFont="1" applyFill="1" applyBorder="1" applyAlignment="1">
      <alignment/>
    </xf>
    <xf numFmtId="0" fontId="6" fillId="0" borderId="19" xfId="0" applyFont="1" applyBorder="1" applyAlignment="1">
      <alignment horizontal="center"/>
    </xf>
    <xf numFmtId="3" fontId="9" fillId="0" borderId="11" xfId="43" applyNumberFormat="1" applyFont="1" applyFill="1" applyBorder="1" applyAlignment="1">
      <alignment/>
    </xf>
    <xf numFmtId="3" fontId="16" fillId="0" borderId="11" xfId="43" applyNumberFormat="1" applyFont="1" applyFill="1" applyBorder="1" applyAlignment="1">
      <alignment/>
    </xf>
    <xf numFmtId="3" fontId="9" fillId="0" borderId="10" xfId="43" applyNumberFormat="1" applyFont="1" applyFill="1" applyBorder="1" applyAlignment="1">
      <alignment/>
    </xf>
    <xf numFmtId="0" fontId="9" fillId="0" borderId="20" xfId="0" applyFont="1" applyBorder="1" applyAlignment="1">
      <alignment/>
    </xf>
    <xf numFmtId="0" fontId="9" fillId="0" borderId="11" xfId="0" applyFont="1" applyBorder="1" applyAlignment="1">
      <alignment/>
    </xf>
    <xf numFmtId="0" fontId="6" fillId="0" borderId="2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15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9" fillId="0" borderId="21" xfId="0" applyFont="1" applyBorder="1" applyAlignment="1">
      <alignment/>
    </xf>
    <xf numFmtId="0" fontId="6" fillId="0" borderId="17" xfId="0" applyFont="1" applyBorder="1" applyAlignment="1">
      <alignment horizontal="centerContinuous"/>
    </xf>
    <xf numFmtId="0" fontId="6" fillId="0" borderId="13" xfId="0" applyFont="1" applyBorder="1" applyAlignment="1" quotePrefix="1">
      <alignment horizontal="centerContinuous"/>
    </xf>
    <xf numFmtId="4" fontId="9" fillId="0" borderId="12" xfId="43" applyNumberFormat="1" applyFont="1" applyFill="1" applyBorder="1" applyAlignment="1">
      <alignment/>
    </xf>
    <xf numFmtId="4" fontId="9" fillId="0" borderId="11" xfId="43" applyNumberFormat="1" applyFont="1" applyFill="1" applyBorder="1" applyAlignment="1">
      <alignment/>
    </xf>
    <xf numFmtId="4" fontId="6" fillId="0" borderId="11" xfId="43" applyNumberFormat="1" applyFont="1" applyBorder="1" applyAlignment="1">
      <alignment/>
    </xf>
    <xf numFmtId="4" fontId="6" fillId="0" borderId="12" xfId="43" applyNumberFormat="1" applyFont="1" applyFill="1" applyBorder="1" applyAlignment="1">
      <alignment/>
    </xf>
    <xf numFmtId="4" fontId="9" fillId="0" borderId="10" xfId="43" applyNumberFormat="1" applyFont="1" applyFill="1" applyBorder="1" applyAlignment="1">
      <alignment/>
    </xf>
    <xf numFmtId="4" fontId="6" fillId="0" borderId="11" xfId="43" applyNumberFormat="1" applyFont="1" applyFill="1" applyBorder="1" applyAlignment="1">
      <alignment/>
    </xf>
    <xf numFmtId="0" fontId="9" fillId="0" borderId="22" xfId="0" applyFont="1" applyBorder="1" applyAlignment="1">
      <alignment horizontal="center"/>
    </xf>
    <xf numFmtId="0" fontId="9" fillId="0" borderId="22" xfId="0" applyFont="1" applyBorder="1" applyAlignment="1">
      <alignment/>
    </xf>
    <xf numFmtId="3" fontId="9" fillId="0" borderId="22" xfId="43" applyNumberFormat="1" applyFont="1" applyFill="1" applyBorder="1" applyAlignment="1">
      <alignment/>
    </xf>
    <xf numFmtId="4" fontId="9" fillId="0" borderId="22" xfId="43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0" xfId="0" applyFont="1" applyBorder="1" applyAlignment="1">
      <alignment/>
    </xf>
    <xf numFmtId="4" fontId="6" fillId="0" borderId="10" xfId="43" applyNumberFormat="1" applyFont="1" applyFill="1" applyBorder="1" applyAlignment="1">
      <alignment/>
    </xf>
    <xf numFmtId="3" fontId="6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4" fontId="10" fillId="0" borderId="12" xfId="43" applyNumberFormat="1" applyFont="1" applyFill="1" applyBorder="1" applyAlignment="1">
      <alignment/>
    </xf>
    <xf numFmtId="0" fontId="9" fillId="0" borderId="12" xfId="0" applyFont="1" applyBorder="1" applyAlignment="1">
      <alignment/>
    </xf>
    <xf numFmtId="0" fontId="14" fillId="0" borderId="11" xfId="0" applyFont="1" applyBorder="1" applyAlignment="1">
      <alignment horizontal="center"/>
    </xf>
    <xf numFmtId="3" fontId="14" fillId="0" borderId="11" xfId="0" applyNumberFormat="1" applyFont="1" applyBorder="1" applyAlignment="1">
      <alignment/>
    </xf>
    <xf numFmtId="4" fontId="14" fillId="0" borderId="11" xfId="43" applyNumberFormat="1" applyFont="1" applyFill="1" applyBorder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" fontId="9" fillId="0" borderId="11" xfId="43" applyNumberFormat="1" applyFont="1" applyBorder="1" applyAlignment="1">
      <alignment/>
    </xf>
    <xf numFmtId="4" fontId="10" fillId="0" borderId="11" xfId="43" applyNumberFormat="1" applyFont="1" applyFill="1" applyBorder="1" applyAlignment="1">
      <alignment/>
    </xf>
    <xf numFmtId="38" fontId="6" fillId="0" borderId="0" xfId="42" applyNumberFormat="1" applyFont="1" applyAlignment="1">
      <alignment/>
    </xf>
    <xf numFmtId="4" fontId="6" fillId="0" borderId="0" xfId="0" applyNumberFormat="1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/>
    </xf>
    <xf numFmtId="3" fontId="6" fillId="0" borderId="12" xfId="43" applyNumberFormat="1" applyFont="1" applyFill="1" applyBorder="1" applyAlignment="1">
      <alignment/>
    </xf>
    <xf numFmtId="0" fontId="9" fillId="0" borderId="23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Continuous"/>
    </xf>
    <xf numFmtId="0" fontId="9" fillId="0" borderId="13" xfId="0" applyFont="1" applyBorder="1" applyAlignment="1">
      <alignment horizontal="centerContinuous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Continuous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centerContinuous"/>
    </xf>
    <xf numFmtId="0" fontId="10" fillId="0" borderId="0" xfId="0" applyFont="1" applyAlignment="1">
      <alignment horizontal="right"/>
    </xf>
    <xf numFmtId="0" fontId="6" fillId="0" borderId="11" xfId="0" applyFont="1" applyBorder="1" applyAlignment="1">
      <alignment vertical="top" wrapText="1"/>
    </xf>
    <xf numFmtId="3" fontId="6" fillId="0" borderId="11" xfId="0" applyNumberFormat="1" applyFont="1" applyBorder="1" applyAlignment="1">
      <alignment vertical="top"/>
    </xf>
    <xf numFmtId="4" fontId="6" fillId="0" borderId="12" xfId="43" applyNumberFormat="1" applyFont="1" applyFill="1" applyBorder="1" applyAlignment="1">
      <alignment vertical="top"/>
    </xf>
    <xf numFmtId="4" fontId="6" fillId="0" borderId="11" xfId="43" applyNumberFormat="1" applyFont="1" applyFill="1" applyBorder="1" applyAlignment="1">
      <alignment vertical="top"/>
    </xf>
    <xf numFmtId="0" fontId="17" fillId="0" borderId="11" xfId="0" applyFont="1" applyBorder="1" applyAlignment="1">
      <alignment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/>
    </xf>
    <xf numFmtId="3" fontId="9" fillId="0" borderId="12" xfId="43" applyNumberFormat="1" applyFont="1" applyFill="1" applyBorder="1" applyAlignment="1">
      <alignment vertical="top"/>
    </xf>
    <xf numFmtId="4" fontId="9" fillId="0" borderId="12" xfId="43" applyNumberFormat="1" applyFont="1" applyFill="1" applyBorder="1" applyAlignment="1">
      <alignment vertical="top"/>
    </xf>
    <xf numFmtId="3" fontId="9" fillId="0" borderId="11" xfId="0" applyNumberFormat="1" applyFont="1" applyBorder="1" applyAlignment="1">
      <alignment vertical="top"/>
    </xf>
    <xf numFmtId="3" fontId="6" fillId="0" borderId="11" xfId="43" applyNumberFormat="1" applyFont="1" applyFill="1" applyBorder="1" applyAlignment="1">
      <alignment vertical="top"/>
    </xf>
    <xf numFmtId="3" fontId="52" fillId="0" borderId="11" xfId="0" applyNumberFormat="1" applyFont="1" applyBorder="1" applyAlignment="1">
      <alignment/>
    </xf>
    <xf numFmtId="178" fontId="6" fillId="0" borderId="0" xfId="0" applyNumberFormat="1" applyFont="1" applyAlignment="1" quotePrefix="1">
      <alignment/>
    </xf>
    <xf numFmtId="40" fontId="6" fillId="0" borderId="0" xfId="42" applyFont="1" applyAlignment="1">
      <alignment/>
    </xf>
    <xf numFmtId="4" fontId="14" fillId="0" borderId="0" xfId="0" applyNumberFormat="1" applyFont="1" applyAlignment="1">
      <alignment/>
    </xf>
    <xf numFmtId="0" fontId="53" fillId="0" borderId="0" xfId="0" applyFont="1" applyAlignment="1">
      <alignment/>
    </xf>
    <xf numFmtId="9" fontId="6" fillId="0" borderId="0" xfId="71" applyFont="1" applyAlignment="1">
      <alignment/>
    </xf>
    <xf numFmtId="0" fontId="52" fillId="0" borderId="0" xfId="0" applyFont="1" applyAlignment="1">
      <alignment/>
    </xf>
    <xf numFmtId="3" fontId="9" fillId="0" borderId="12" xfId="0" applyNumberFormat="1" applyFont="1" applyBorder="1" applyAlignment="1">
      <alignment/>
    </xf>
    <xf numFmtId="3" fontId="6" fillId="0" borderId="24" xfId="43" applyNumberFormat="1" applyFont="1" applyFill="1" applyBorder="1" applyAlignment="1">
      <alignment/>
    </xf>
    <xf numFmtId="4" fontId="6" fillId="0" borderId="15" xfId="43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14" xfId="0" applyFont="1" applyFill="1" applyBorder="1" applyAlignment="1">
      <alignment horizontal="centerContinuous"/>
    </xf>
    <xf numFmtId="0" fontId="6" fillId="0" borderId="15" xfId="0" applyFont="1" applyFill="1" applyBorder="1" applyAlignment="1">
      <alignment horizontal="centerContinuous"/>
    </xf>
    <xf numFmtId="0" fontId="6" fillId="0" borderId="17" xfId="0" applyFont="1" applyFill="1" applyBorder="1" applyAlignment="1">
      <alignment horizontal="centerContinuous"/>
    </xf>
    <xf numFmtId="0" fontId="6" fillId="0" borderId="13" xfId="0" applyFont="1" applyFill="1" applyBorder="1" applyAlignment="1" quotePrefix="1">
      <alignment horizontal="centerContinuous"/>
    </xf>
    <xf numFmtId="3" fontId="9" fillId="0" borderId="11" xfId="0" applyNumberFormat="1" applyFont="1" applyFill="1" applyBorder="1" applyAlignment="1">
      <alignment/>
    </xf>
    <xf numFmtId="3" fontId="52" fillId="0" borderId="11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vertical="top"/>
    </xf>
    <xf numFmtId="3" fontId="9" fillId="0" borderId="12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>
      <alignment/>
    </xf>
    <xf numFmtId="3" fontId="6" fillId="0" borderId="0" xfId="43" applyNumberFormat="1" applyFont="1" applyFill="1" applyBorder="1" applyAlignment="1">
      <alignment/>
    </xf>
    <xf numFmtId="4" fontId="6" fillId="0" borderId="0" xfId="0" applyNumberFormat="1" applyFont="1" applyAlignment="1" quotePrefix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 3" xfId="46"/>
    <cellStyle name="Comma 4" xfId="47"/>
    <cellStyle name="Comma 5" xfId="48"/>
    <cellStyle name="Comma 6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3 2" xfId="66"/>
    <cellStyle name="Normal 4" xfId="67"/>
    <cellStyle name="Normal 4 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C-STC\BC-STC%202020\BC%20thu%20chi%20NS%202020\BC%20thu%20chi%20thang%20STC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C-STC\C&#244;ng%20khai%20NS\CK2019\Cong%20khai%20NS%209thang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3"/>
      <sheetName val="T2"/>
      <sheetName val="T1"/>
    </sheetNames>
    <sheetDataSet>
      <sheetData sheetId="0">
        <row r="13">
          <cell r="C13">
            <v>207450000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S93"/>
      <sheetName val="BS94"/>
      <sheetName val="BS95"/>
    </sheetNames>
    <sheetDataSet>
      <sheetData sheetId="0">
        <row r="12">
          <cell r="D12">
            <v>980197.465665</v>
          </cell>
        </row>
        <row r="13">
          <cell r="D13">
            <v>930244.957665</v>
          </cell>
        </row>
        <row r="14">
          <cell r="D14">
            <v>930244.957665</v>
          </cell>
        </row>
        <row r="17">
          <cell r="D17">
            <v>804899.217</v>
          </cell>
        </row>
        <row r="18">
          <cell r="D18">
            <v>804899.217</v>
          </cell>
        </row>
        <row r="19">
          <cell r="D19">
            <v>84719.034</v>
          </cell>
        </row>
        <row r="20">
          <cell r="D20">
            <v>720180.183</v>
          </cell>
        </row>
      </sheetData>
      <sheetData sheetId="1">
        <row r="12">
          <cell r="D12">
            <v>1174668</v>
          </cell>
        </row>
        <row r="13">
          <cell r="D13">
            <v>1174668</v>
          </cell>
        </row>
        <row r="14">
          <cell r="D14">
            <v>10131</v>
          </cell>
        </row>
        <row r="15">
          <cell r="D15">
            <v>2125</v>
          </cell>
        </row>
        <row r="16">
          <cell r="D16">
            <v>495855</v>
          </cell>
        </row>
        <row r="17">
          <cell r="D17">
            <v>158553</v>
          </cell>
        </row>
        <row r="18">
          <cell r="D18">
            <v>476</v>
          </cell>
        </row>
        <row r="19">
          <cell r="D19">
            <v>172090</v>
          </cell>
        </row>
        <row r="20">
          <cell r="D20">
            <v>55817</v>
          </cell>
        </row>
        <row r="21">
          <cell r="D21">
            <v>240541</v>
          </cell>
        </row>
        <row r="23">
          <cell r="D23">
            <v>9973</v>
          </cell>
        </row>
        <row r="24">
          <cell r="D24">
            <v>93950</v>
          </cell>
        </row>
        <row r="25">
          <cell r="D25">
            <v>136618</v>
          </cell>
        </row>
        <row r="28">
          <cell r="D28">
            <v>39080</v>
          </cell>
        </row>
        <row r="31">
          <cell r="D31">
            <v>153921</v>
          </cell>
        </row>
        <row r="32">
          <cell r="D32">
            <v>89022</v>
          </cell>
        </row>
        <row r="33">
          <cell r="D33">
            <v>64899</v>
          </cell>
        </row>
      </sheetData>
      <sheetData sheetId="2">
        <row r="12">
          <cell r="D12">
            <v>804899.0549999998</v>
          </cell>
        </row>
        <row r="13">
          <cell r="D13">
            <v>804899.0549999998</v>
          </cell>
        </row>
        <row r="14">
          <cell r="D14">
            <v>84719</v>
          </cell>
        </row>
        <row r="15">
          <cell r="D15">
            <v>82142</v>
          </cell>
        </row>
        <row r="16">
          <cell r="D16">
            <v>2577</v>
          </cell>
        </row>
        <row r="19">
          <cell r="D19">
            <v>280328.202</v>
          </cell>
        </row>
        <row r="21">
          <cell r="D21">
            <v>63346.828</v>
          </cell>
        </row>
        <row r="22">
          <cell r="D22">
            <v>3325.258</v>
          </cell>
        </row>
        <row r="24">
          <cell r="D24">
            <v>941.908</v>
          </cell>
        </row>
        <row r="25">
          <cell r="D25">
            <v>56642.29</v>
          </cell>
        </row>
        <row r="26">
          <cell r="D26">
            <v>31686.068</v>
          </cell>
        </row>
        <row r="27">
          <cell r="D27">
            <v>139971.629</v>
          </cell>
        </row>
        <row r="28">
          <cell r="D28">
            <v>78784.872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Zeros="0" zoomScale="120" zoomScaleNormal="120" zoomScalePageLayoutView="0" workbookViewId="0" topLeftCell="C7">
      <selection activeCell="G20" sqref="G20"/>
    </sheetView>
  </sheetViews>
  <sheetFormatPr defaultColWidth="9.140625" defaultRowHeight="12.75"/>
  <cols>
    <col min="1" max="1" width="5.421875" style="1" customWidth="1"/>
    <col min="2" max="2" width="40.57421875" style="1" customWidth="1"/>
    <col min="3" max="3" width="9.7109375" style="1" customWidth="1"/>
    <col min="4" max="4" width="9.8515625" style="1" customWidth="1"/>
    <col min="5" max="6" width="10.57421875" style="1" customWidth="1"/>
    <col min="7" max="7" width="10.421875" style="1" bestFit="1" customWidth="1"/>
    <col min="8" max="16384" width="9.140625" style="1" customWidth="1"/>
  </cols>
  <sheetData>
    <row r="1" spans="1:6" ht="12.75">
      <c r="A1" s="1" t="s">
        <v>75</v>
      </c>
      <c r="F1" s="2" t="s">
        <v>56</v>
      </c>
    </row>
    <row r="2" ht="12.75">
      <c r="A2" s="9" t="s">
        <v>76</v>
      </c>
    </row>
    <row r="3" ht="12.75">
      <c r="A3" s="9" t="s">
        <v>78</v>
      </c>
    </row>
    <row r="4" ht="12.75">
      <c r="A4" s="9"/>
    </row>
    <row r="5" spans="1:6" s="3" customFormat="1" ht="16.5">
      <c r="A5" s="125" t="s">
        <v>82</v>
      </c>
      <c r="B5" s="125"/>
      <c r="C5" s="125"/>
      <c r="D5" s="125"/>
      <c r="E5" s="125"/>
      <c r="F5" s="125"/>
    </row>
    <row r="6" spans="1:6" s="4" customFormat="1" ht="12.75" hidden="1">
      <c r="A6" s="126" t="s">
        <v>55</v>
      </c>
      <c r="B6" s="126"/>
      <c r="C6" s="126"/>
      <c r="D6" s="126"/>
      <c r="E6" s="126"/>
      <c r="F6" s="126"/>
    </row>
    <row r="7" ht="12.75">
      <c r="F7" s="83" t="s">
        <v>27</v>
      </c>
    </row>
    <row r="8" spans="1:6" ht="12.75">
      <c r="A8" s="74" t="s">
        <v>0</v>
      </c>
      <c r="B8" s="74" t="s">
        <v>34</v>
      </c>
      <c r="C8" s="75" t="s">
        <v>18</v>
      </c>
      <c r="D8" s="75" t="s">
        <v>30</v>
      </c>
      <c r="E8" s="76" t="s">
        <v>58</v>
      </c>
      <c r="F8" s="76"/>
    </row>
    <row r="9" spans="1:6" ht="12.75">
      <c r="A9" s="77"/>
      <c r="B9" s="78"/>
      <c r="C9" s="79" t="s">
        <v>31</v>
      </c>
      <c r="D9" s="79" t="s">
        <v>84</v>
      </c>
      <c r="E9" s="79" t="s">
        <v>57</v>
      </c>
      <c r="F9" s="79" t="s">
        <v>32</v>
      </c>
    </row>
    <row r="10" spans="1:6" ht="12.75">
      <c r="A10" s="80"/>
      <c r="B10" s="81"/>
      <c r="C10" s="82"/>
      <c r="D10" s="82"/>
      <c r="E10" s="82"/>
      <c r="F10" s="82" t="s">
        <v>33</v>
      </c>
    </row>
    <row r="11" spans="1:6" ht="12.75">
      <c r="A11" s="16" t="s">
        <v>7</v>
      </c>
      <c r="B11" s="26" t="s">
        <v>8</v>
      </c>
      <c r="C11" s="38" t="s">
        <v>24</v>
      </c>
      <c r="D11" s="38" t="s">
        <v>25</v>
      </c>
      <c r="E11" s="38" t="s">
        <v>35</v>
      </c>
      <c r="F11" s="38" t="s">
        <v>26</v>
      </c>
    </row>
    <row r="12" spans="1:7" ht="12.75">
      <c r="A12" s="15" t="s">
        <v>7</v>
      </c>
      <c r="B12" s="36" t="s">
        <v>73</v>
      </c>
      <c r="C12" s="25">
        <f>C13+C16</f>
        <v>1259821</v>
      </c>
      <c r="D12" s="25">
        <f>D13+D16</f>
        <v>951015</v>
      </c>
      <c r="E12" s="39">
        <f>D12/C12*100</f>
        <v>75.48810505619448</v>
      </c>
      <c r="F12" s="39">
        <f>D12/'[2]BS93'!$D$12*100</f>
        <v>97.0227972743021</v>
      </c>
      <c r="G12" s="1">
        <f>100-97.02</f>
        <v>2.980000000000004</v>
      </c>
    </row>
    <row r="13" spans="1:6" ht="12.75">
      <c r="A13" s="10" t="s">
        <v>1</v>
      </c>
      <c r="B13" s="31" t="s">
        <v>59</v>
      </c>
      <c r="C13" s="27">
        <f>SUM(C14:C15)</f>
        <v>1259821</v>
      </c>
      <c r="D13" s="27">
        <f>SUM(D14:D15)</f>
        <v>895499</v>
      </c>
      <c r="E13" s="39">
        <f>D13/C13*100</f>
        <v>71.08144728497143</v>
      </c>
      <c r="F13" s="66">
        <f>D13/'[2]BS93'!$D$13*100</f>
        <v>96.26485933853213</v>
      </c>
    </row>
    <row r="14" spans="1:6" ht="12.75">
      <c r="A14" s="11">
        <v>1</v>
      </c>
      <c r="B14" s="32" t="s">
        <v>9</v>
      </c>
      <c r="C14" s="13">
        <f>1259821</f>
        <v>1259821</v>
      </c>
      <c r="D14" s="13">
        <f>951015-55516</f>
        <v>895499</v>
      </c>
      <c r="E14" s="42">
        <f>D14/C14*100</f>
        <v>71.08144728497143</v>
      </c>
      <c r="F14" s="41">
        <f>D14/'[2]BS93'!$D$14*100</f>
        <v>96.26485933853213</v>
      </c>
    </row>
    <row r="15" spans="1:6" ht="12.75">
      <c r="A15" s="11">
        <v>2</v>
      </c>
      <c r="B15" s="32" t="s">
        <v>42</v>
      </c>
      <c r="C15" s="13"/>
      <c r="D15" s="13"/>
      <c r="E15" s="42"/>
      <c r="F15" s="41"/>
    </row>
    <row r="16" spans="1:6" ht="12.75">
      <c r="A16" s="10" t="s">
        <v>2</v>
      </c>
      <c r="B16" s="31" t="s">
        <v>28</v>
      </c>
      <c r="C16" s="28"/>
      <c r="D16" s="28">
        <f>55516</f>
        <v>55516</v>
      </c>
      <c r="E16" s="39"/>
      <c r="F16" s="41">
        <f>D16/46209*100</f>
        <v>120.14109805449155</v>
      </c>
    </row>
    <row r="17" spans="1:8" ht="12.75">
      <c r="A17" s="10" t="s">
        <v>8</v>
      </c>
      <c r="B17" s="30" t="s">
        <v>13</v>
      </c>
      <c r="C17" s="27">
        <f>SUM(C18,C23,C26)</f>
        <v>1259821</v>
      </c>
      <c r="D17" s="27">
        <f>SUM(D18,D23,D26)</f>
        <v>740030</v>
      </c>
      <c r="E17" s="39">
        <f>D17/C17*100</f>
        <v>58.740884617735375</v>
      </c>
      <c r="F17" s="39">
        <f>D17/'[2]BS93'!$D$17*100</f>
        <v>91.94070317998583</v>
      </c>
      <c r="G17" s="8"/>
      <c r="H17" s="69"/>
    </row>
    <row r="18" spans="1:7" ht="12.75">
      <c r="A18" s="10" t="s">
        <v>1</v>
      </c>
      <c r="B18" s="30" t="s">
        <v>14</v>
      </c>
      <c r="C18" s="27">
        <f>SUM(C19:C22)</f>
        <v>1259821</v>
      </c>
      <c r="D18" s="27">
        <f>SUM(D19:D22)</f>
        <v>740030</v>
      </c>
      <c r="E18" s="39">
        <f>D18/C18*100</f>
        <v>58.740884617735375</v>
      </c>
      <c r="F18" s="39">
        <f>D18/'[2]BS93'!$D$18*100</f>
        <v>91.94070317998583</v>
      </c>
      <c r="G18" s="5"/>
    </row>
    <row r="19" spans="1:7" ht="12.75">
      <c r="A19" s="11">
        <v>1</v>
      </c>
      <c r="B19" s="32" t="s">
        <v>4</v>
      </c>
      <c r="C19" s="12">
        <f>45934</f>
        <v>45934</v>
      </c>
      <c r="D19" s="12">
        <f>'BS95'!D14</f>
        <v>46397</v>
      </c>
      <c r="E19" s="42">
        <f>D19/C19*100</f>
        <v>101.00796795402098</v>
      </c>
      <c r="F19" s="42">
        <f>D19/'[2]BS93'!$D$19*100</f>
        <v>54.76573304648398</v>
      </c>
      <c r="G19" s="123">
        <f>100-F19</f>
        <v>45.23426695351602</v>
      </c>
    </row>
    <row r="20" spans="1:7" ht="12.75">
      <c r="A20" s="11">
        <v>2</v>
      </c>
      <c r="B20" s="32" t="s">
        <v>5</v>
      </c>
      <c r="C20" s="12">
        <f>1213887-23630</f>
        <v>1190257</v>
      </c>
      <c r="D20" s="12">
        <f>'BS95'!D17</f>
        <v>657127</v>
      </c>
      <c r="E20" s="42">
        <f>D20/C20*100</f>
        <v>55.208833050341234</v>
      </c>
      <c r="F20" s="42">
        <f>D20/'[2]BS93'!$D$20*100</f>
        <v>91.24480449637699</v>
      </c>
      <c r="G20" s="99">
        <f>100-91.24</f>
        <v>8.760000000000005</v>
      </c>
    </row>
    <row r="21" spans="1:7" ht="12.75">
      <c r="A21" s="11">
        <v>3</v>
      </c>
      <c r="B21" s="32" t="s">
        <v>6</v>
      </c>
      <c r="C21" s="12">
        <v>23630</v>
      </c>
      <c r="D21" s="12"/>
      <c r="E21" s="42">
        <f>D21/C21*100</f>
        <v>0</v>
      </c>
      <c r="F21" s="42"/>
      <c r="G21" s="5"/>
    </row>
    <row r="22" spans="1:7" ht="12.75">
      <c r="A22" s="11">
        <v>4</v>
      </c>
      <c r="B22" s="108" t="s">
        <v>81</v>
      </c>
      <c r="C22" s="106"/>
      <c r="D22" s="12">
        <f>'BS95'!D30</f>
        <v>36506</v>
      </c>
      <c r="E22" s="107"/>
      <c r="F22" s="107"/>
      <c r="G22" s="5"/>
    </row>
    <row r="23" spans="1:7" ht="12.75">
      <c r="A23" s="19" t="s">
        <v>2</v>
      </c>
      <c r="B23" s="73" t="s">
        <v>72</v>
      </c>
      <c r="C23" s="29"/>
      <c r="D23" s="29"/>
      <c r="E23" s="43"/>
      <c r="F23" s="43">
        <f>D23/496*100</f>
        <v>0</v>
      </c>
      <c r="G23" s="5"/>
    </row>
    <row r="24" spans="1:7" ht="12.75" hidden="1">
      <c r="A24" s="70"/>
      <c r="B24" s="71"/>
      <c r="C24" s="72"/>
      <c r="D24" s="72"/>
      <c r="E24" s="42"/>
      <c r="F24" s="42"/>
      <c r="G24" s="5"/>
    </row>
    <row r="25" spans="1:7" ht="12.75" hidden="1">
      <c r="A25" s="11"/>
      <c r="B25" s="32"/>
      <c r="C25" s="12"/>
      <c r="D25" s="12"/>
      <c r="E25" s="42"/>
      <c r="F25" s="42"/>
      <c r="G25" s="5"/>
    </row>
    <row r="26" spans="1:6" ht="12.75" hidden="1">
      <c r="A26" s="19"/>
      <c r="B26" s="33"/>
      <c r="C26" s="29"/>
      <c r="D26" s="29"/>
      <c r="E26" s="43"/>
      <c r="F26" s="43"/>
    </row>
    <row r="27" spans="1:6" ht="12" customHeight="1" hidden="1">
      <c r="A27" s="124"/>
      <c r="B27" s="124"/>
      <c r="C27" s="124"/>
      <c r="D27" s="18"/>
      <c r="E27" s="18"/>
      <c r="F27" s="18"/>
    </row>
    <row r="28" spans="1:6" ht="12.75">
      <c r="A28" s="1" t="s">
        <v>29</v>
      </c>
      <c r="B28" s="7"/>
      <c r="C28" s="7"/>
      <c r="D28" s="7"/>
      <c r="E28" s="7"/>
      <c r="F28" s="7"/>
    </row>
    <row r="29" ht="12.75">
      <c r="A29" s="104" t="s">
        <v>79</v>
      </c>
    </row>
    <row r="30" ht="12.75">
      <c r="A30" s="102"/>
    </row>
    <row r="33" ht="12.75">
      <c r="D33" s="68"/>
    </row>
    <row r="34" ht="12.75">
      <c r="D34" s="68"/>
    </row>
    <row r="35" ht="12.75">
      <c r="D35" s="68"/>
    </row>
    <row r="36" ht="12.75">
      <c r="D36" s="68"/>
    </row>
    <row r="37" ht="12.75">
      <c r="D37" s="68"/>
    </row>
    <row r="38" ht="12.75">
      <c r="D38" s="68"/>
    </row>
    <row r="39" ht="12.75">
      <c r="D39" s="68"/>
    </row>
    <row r="40" ht="12.75">
      <c r="D40" s="68"/>
    </row>
    <row r="41" ht="12.75">
      <c r="D41" s="68"/>
    </row>
  </sheetData>
  <sheetProtection/>
  <mergeCells count="3">
    <mergeCell ref="A27:C27"/>
    <mergeCell ref="A5:F5"/>
    <mergeCell ref="A6:F6"/>
  </mergeCells>
  <printOptions/>
  <pageMargins left="1" right="0.5" top="1" bottom="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showGridLines="0" showZeros="0" zoomScale="120" zoomScaleNormal="120" zoomScalePageLayoutView="0" workbookViewId="0" topLeftCell="A9">
      <selection activeCell="E28" sqref="E28"/>
    </sheetView>
  </sheetViews>
  <sheetFormatPr defaultColWidth="9.140625" defaultRowHeight="12.75"/>
  <cols>
    <col min="1" max="1" width="5.421875" style="1" customWidth="1"/>
    <col min="2" max="2" width="44.28125" style="1" customWidth="1"/>
    <col min="3" max="5" width="9.421875" style="1" customWidth="1"/>
    <col min="6" max="6" width="11.28125" style="1" customWidth="1"/>
    <col min="7" max="7" width="10.140625" style="1" bestFit="1" customWidth="1"/>
    <col min="8" max="16384" width="9.140625" style="1" customWidth="1"/>
  </cols>
  <sheetData>
    <row r="1" spans="1:6" ht="12.75">
      <c r="A1" s="1" t="s">
        <v>75</v>
      </c>
      <c r="F1" s="2" t="s">
        <v>65</v>
      </c>
    </row>
    <row r="2" ht="12.75">
      <c r="A2" s="9" t="s">
        <v>76</v>
      </c>
    </row>
    <row r="3" ht="12.75">
      <c r="A3" s="9" t="s">
        <v>77</v>
      </c>
    </row>
    <row r="4" ht="12.75">
      <c r="A4" s="9"/>
    </row>
    <row r="5" spans="1:6" s="3" customFormat="1" ht="16.5">
      <c r="A5" s="125" t="s">
        <v>83</v>
      </c>
      <c r="B5" s="125"/>
      <c r="C5" s="125"/>
      <c r="D5" s="125"/>
      <c r="E5" s="125"/>
      <c r="F5" s="125"/>
    </row>
    <row r="6" spans="1:6" s="4" customFormat="1" ht="12.75" hidden="1">
      <c r="A6" s="126" t="s">
        <v>55</v>
      </c>
      <c r="B6" s="126"/>
      <c r="C6" s="126"/>
      <c r="D6" s="126"/>
      <c r="E6" s="126"/>
      <c r="F6" s="126"/>
    </row>
    <row r="7" ht="12.75">
      <c r="F7" s="83" t="s">
        <v>27</v>
      </c>
    </row>
    <row r="8" spans="1:6" ht="12.75">
      <c r="A8" s="74" t="s">
        <v>0</v>
      </c>
      <c r="B8" s="74" t="s">
        <v>34</v>
      </c>
      <c r="C8" s="75" t="s">
        <v>18</v>
      </c>
      <c r="D8" s="75" t="s">
        <v>30</v>
      </c>
      <c r="E8" s="76" t="s">
        <v>58</v>
      </c>
      <c r="F8" s="76"/>
    </row>
    <row r="9" spans="1:6" ht="12.75">
      <c r="A9" s="77"/>
      <c r="B9" s="78"/>
      <c r="C9" s="79" t="s">
        <v>31</v>
      </c>
      <c r="D9" s="79" t="s">
        <v>84</v>
      </c>
      <c r="E9" s="79" t="s">
        <v>18</v>
      </c>
      <c r="F9" s="79" t="s">
        <v>32</v>
      </c>
    </row>
    <row r="10" spans="1:6" ht="12.75">
      <c r="A10" s="80"/>
      <c r="B10" s="81"/>
      <c r="C10" s="82"/>
      <c r="D10" s="82"/>
      <c r="E10" s="82" t="s">
        <v>31</v>
      </c>
      <c r="F10" s="82" t="s">
        <v>33</v>
      </c>
    </row>
    <row r="11" spans="1:6" ht="12.75">
      <c r="A11" s="16" t="s">
        <v>7</v>
      </c>
      <c r="B11" s="26" t="s">
        <v>8</v>
      </c>
      <c r="C11" s="38" t="s">
        <v>24</v>
      </c>
      <c r="D11" s="38" t="s">
        <v>25</v>
      </c>
      <c r="E11" s="38" t="s">
        <v>35</v>
      </c>
      <c r="F11" s="38" t="s">
        <v>26</v>
      </c>
    </row>
    <row r="12" spans="1:7" ht="12.75">
      <c r="A12" s="45" t="s">
        <v>7</v>
      </c>
      <c r="B12" s="46" t="s">
        <v>74</v>
      </c>
      <c r="C12" s="47">
        <f>SUM(C13,C30)</f>
        <v>1577000</v>
      </c>
      <c r="D12" s="47">
        <f>SUM(D13,D30)</f>
        <v>956160</v>
      </c>
      <c r="E12" s="48">
        <f>D12/C12*100</f>
        <v>60.631578947368425</v>
      </c>
      <c r="F12" s="40">
        <f>D12/'[2]BS94'!$D$12*100</f>
        <v>81.39831850361124</v>
      </c>
      <c r="G12" s="1">
        <f>100-81.4</f>
        <v>18.599999999999994</v>
      </c>
    </row>
    <row r="13" spans="1:7" ht="12.75">
      <c r="A13" s="10" t="s">
        <v>1</v>
      </c>
      <c r="B13" s="31" t="s">
        <v>9</v>
      </c>
      <c r="C13" s="56">
        <f>SUM(C14:C21,C27:C29)</f>
        <v>1577000</v>
      </c>
      <c r="D13" s="56">
        <f>SUM(D14:D21,D27:D29)</f>
        <v>956160</v>
      </c>
      <c r="E13" s="39">
        <f>D13/C13*100</f>
        <v>60.631578947368425</v>
      </c>
      <c r="F13" s="40">
        <f>D13/'[2]BS94'!$D$13*100</f>
        <v>81.39831850361124</v>
      </c>
      <c r="G13" s="8"/>
    </row>
    <row r="14" spans="1:7" ht="12.75">
      <c r="A14" s="11">
        <v>1</v>
      </c>
      <c r="B14" s="49" t="s">
        <v>37</v>
      </c>
      <c r="C14" s="54">
        <v>14000</v>
      </c>
      <c r="D14" s="98">
        <f>12711</f>
        <v>12711</v>
      </c>
      <c r="E14" s="42">
        <f aca="true" t="shared" si="0" ref="E14:E21">D14/C14*100</f>
        <v>90.79285714285714</v>
      </c>
      <c r="F14" s="44">
        <f>D14/'[2]BS94'!$D$14*100</f>
        <v>125.46639028723719</v>
      </c>
      <c r="G14" s="8"/>
    </row>
    <row r="15" spans="1:7" ht="12.75">
      <c r="A15" s="11">
        <v>2</v>
      </c>
      <c r="B15" s="49" t="s">
        <v>38</v>
      </c>
      <c r="C15" s="54">
        <v>3000</v>
      </c>
      <c r="D15" s="54">
        <f>16221-12711</f>
        <v>3510</v>
      </c>
      <c r="E15" s="42">
        <f t="shared" si="0"/>
        <v>117</v>
      </c>
      <c r="F15" s="44">
        <f>D15/'[2]BS94'!$D$15*100</f>
        <v>165.1764705882353</v>
      </c>
      <c r="G15" s="8"/>
    </row>
    <row r="16" spans="1:7" ht="12.75">
      <c r="A16" s="11">
        <v>3</v>
      </c>
      <c r="B16" s="49" t="s">
        <v>39</v>
      </c>
      <c r="C16" s="54">
        <f>748000</f>
        <v>748000</v>
      </c>
      <c r="D16" s="54">
        <f>439474</f>
        <v>439474</v>
      </c>
      <c r="E16" s="42">
        <f t="shared" si="0"/>
        <v>58.75320855614973</v>
      </c>
      <c r="F16" s="44">
        <f>D16/'[2]BS94'!$D$16*100</f>
        <v>88.62953887729276</v>
      </c>
      <c r="G16" s="69">
        <f>100-88.63</f>
        <v>11.370000000000005</v>
      </c>
    </row>
    <row r="17" spans="1:7" ht="12.75">
      <c r="A17" s="11">
        <v>4</v>
      </c>
      <c r="B17" s="49" t="s">
        <v>20</v>
      </c>
      <c r="C17" s="54">
        <f>255000</f>
        <v>255000</v>
      </c>
      <c r="D17" s="54">
        <f>159133</f>
        <v>159133</v>
      </c>
      <c r="E17" s="42">
        <f t="shared" si="0"/>
        <v>62.40509803921569</v>
      </c>
      <c r="F17" s="44">
        <f>D17/'[2]BS94'!$D$17*100</f>
        <v>100.36580827861977</v>
      </c>
      <c r="G17" s="8"/>
    </row>
    <row r="18" spans="1:7" ht="12.75">
      <c r="A18" s="11">
        <v>5</v>
      </c>
      <c r="B18" s="49" t="s">
        <v>22</v>
      </c>
      <c r="C18" s="54"/>
      <c r="D18" s="54">
        <f>879</f>
        <v>879</v>
      </c>
      <c r="E18" s="42"/>
      <c r="F18" s="44">
        <f>D18/'[2]BS94'!$D$18*100</f>
        <v>184.6638655462185</v>
      </c>
      <c r="G18" s="8"/>
    </row>
    <row r="19" spans="1:7" ht="12.75">
      <c r="A19" s="11">
        <v>6</v>
      </c>
      <c r="B19" s="49" t="s">
        <v>60</v>
      </c>
      <c r="C19" s="54">
        <f>241000</f>
        <v>241000</v>
      </c>
      <c r="D19" s="54">
        <f>116341</f>
        <v>116341</v>
      </c>
      <c r="E19" s="42">
        <f t="shared" si="0"/>
        <v>48.27427385892116</v>
      </c>
      <c r="F19" s="44">
        <f>D19/'[2]BS94'!$D$19*100</f>
        <v>67.60474170492185</v>
      </c>
      <c r="G19" s="8"/>
    </row>
    <row r="20" spans="1:7" ht="12.75">
      <c r="A20" s="11">
        <v>7</v>
      </c>
      <c r="B20" s="49" t="s">
        <v>61</v>
      </c>
      <c r="C20" s="54">
        <f>72600+17400</f>
        <v>90000</v>
      </c>
      <c r="D20" s="54">
        <f>35302+16418</f>
        <v>51720</v>
      </c>
      <c r="E20" s="42">
        <f t="shared" si="0"/>
        <v>57.46666666666667</v>
      </c>
      <c r="F20" s="44">
        <f>D20/'[2]BS94'!$D$20*100</f>
        <v>92.65994231148217</v>
      </c>
      <c r="G20" s="8"/>
    </row>
    <row r="21" spans="1:7" ht="12.75">
      <c r="A21" s="11">
        <v>8</v>
      </c>
      <c r="B21" s="49" t="s">
        <v>11</v>
      </c>
      <c r="C21" s="54">
        <f>SUM(C22:C26)</f>
        <v>168000</v>
      </c>
      <c r="D21" s="54">
        <f>SUM(D22:D26)</f>
        <v>119200</v>
      </c>
      <c r="E21" s="42">
        <f t="shared" si="0"/>
        <v>70.95238095238095</v>
      </c>
      <c r="F21" s="44">
        <f>D21/'[2]BS94'!$D$21*100</f>
        <v>49.5549615242308</v>
      </c>
      <c r="G21" s="8"/>
    </row>
    <row r="22" spans="1:7" ht="12.75" hidden="1">
      <c r="A22" s="11"/>
      <c r="B22" s="50" t="s">
        <v>10</v>
      </c>
      <c r="C22" s="55"/>
      <c r="D22" s="55"/>
      <c r="E22" s="59"/>
      <c r="F22" s="44"/>
      <c r="G22" s="8"/>
    </row>
    <row r="23" spans="1:7" ht="12.75">
      <c r="A23" s="11"/>
      <c r="B23" s="50" t="s">
        <v>21</v>
      </c>
      <c r="C23" s="55">
        <f>8000</f>
        <v>8000</v>
      </c>
      <c r="D23" s="55">
        <f>9292</f>
        <v>9292</v>
      </c>
      <c r="E23" s="59">
        <f>D23/C23*100</f>
        <v>116.14999999999999</v>
      </c>
      <c r="F23" s="67">
        <f>D23/'[2]BS94'!$D$23*100</f>
        <v>93.17156322069587</v>
      </c>
      <c r="G23" s="8"/>
    </row>
    <row r="24" spans="1:7" ht="12.75">
      <c r="A24" s="11"/>
      <c r="B24" s="51" t="s">
        <v>40</v>
      </c>
      <c r="C24" s="55">
        <f>100000</f>
        <v>100000</v>
      </c>
      <c r="D24" s="55">
        <f>92027</f>
        <v>92027</v>
      </c>
      <c r="E24" s="59">
        <f>D24/C24*100</f>
        <v>92.027</v>
      </c>
      <c r="F24" s="67">
        <f>D24/'[2]BS94'!$D$24*100</f>
        <v>97.953166577967</v>
      </c>
      <c r="G24" s="8"/>
    </row>
    <row r="25" spans="1:7" ht="12.75">
      <c r="A25" s="11"/>
      <c r="B25" s="51" t="s">
        <v>62</v>
      </c>
      <c r="C25" s="55">
        <f>60000</f>
        <v>60000</v>
      </c>
      <c r="D25" s="55">
        <f>17881</f>
        <v>17881</v>
      </c>
      <c r="E25" s="59">
        <f>D25/C25*100</f>
        <v>29.801666666666666</v>
      </c>
      <c r="F25" s="67">
        <f>D25/'[2]BS94'!$D$25*100</f>
        <v>13.088319255149393</v>
      </c>
      <c r="G25" s="8"/>
    </row>
    <row r="26" spans="1:7" ht="12.75" hidden="1">
      <c r="A26" s="11"/>
      <c r="B26" s="51" t="s">
        <v>63</v>
      </c>
      <c r="C26" s="55"/>
      <c r="D26" s="55"/>
      <c r="E26" s="42"/>
      <c r="F26" s="44"/>
      <c r="G26" s="8"/>
    </row>
    <row r="27" spans="1:7" ht="12.75">
      <c r="A27" s="11">
        <v>9</v>
      </c>
      <c r="B27" s="49" t="s">
        <v>19</v>
      </c>
      <c r="C27" s="54"/>
      <c r="D27" s="54"/>
      <c r="E27" s="42"/>
      <c r="F27" s="44"/>
      <c r="G27" s="8"/>
    </row>
    <row r="28" spans="1:7" ht="12.75">
      <c r="A28" s="21">
        <v>10</v>
      </c>
      <c r="B28" s="49" t="s">
        <v>12</v>
      </c>
      <c r="C28" s="54">
        <f>58000</f>
        <v>58000</v>
      </c>
      <c r="D28" s="54">
        <f>53192</f>
        <v>53192</v>
      </c>
      <c r="E28" s="42">
        <f>D28/C28*100</f>
        <v>91.71034482758621</v>
      </c>
      <c r="F28" s="44">
        <f>D28/'[2]BS94'!$D$28*100</f>
        <v>136.11054247697032</v>
      </c>
      <c r="G28" s="8"/>
    </row>
    <row r="29" spans="1:7" ht="12.75">
      <c r="A29" s="11">
        <v>11</v>
      </c>
      <c r="B29" s="49" t="s">
        <v>41</v>
      </c>
      <c r="C29" s="54"/>
      <c r="D29" s="54"/>
      <c r="E29" s="42"/>
      <c r="F29" s="44">
        <f>D29/13093*100</f>
        <v>0</v>
      </c>
      <c r="G29" s="8"/>
    </row>
    <row r="30" spans="1:7" ht="12.75">
      <c r="A30" s="10" t="s">
        <v>2</v>
      </c>
      <c r="B30" s="31" t="s">
        <v>42</v>
      </c>
      <c r="C30" s="56"/>
      <c r="D30" s="56"/>
      <c r="E30" s="39"/>
      <c r="F30" s="40"/>
      <c r="G30" s="8"/>
    </row>
    <row r="31" spans="1:7" ht="12.75">
      <c r="A31" s="10" t="s">
        <v>8</v>
      </c>
      <c r="B31" s="31" t="s">
        <v>43</v>
      </c>
      <c r="C31" s="27">
        <f>SUM(C32:C33)</f>
        <v>207450</v>
      </c>
      <c r="D31" s="27">
        <f>SUM(D32:D33)</f>
        <v>147310</v>
      </c>
      <c r="E31" s="39">
        <f>D31/C31*100</f>
        <v>71.00988189925283</v>
      </c>
      <c r="F31" s="39">
        <f>D31/'[2]BS94'!$D$31*100</f>
        <v>95.70493954691042</v>
      </c>
      <c r="G31" s="8"/>
    </row>
    <row r="32" spans="1:7" ht="12.75">
      <c r="A32" s="11">
        <v>1</v>
      </c>
      <c r="B32" s="49" t="s">
        <v>44</v>
      </c>
      <c r="C32" s="12">
        <f>99000+35280</f>
        <v>134280</v>
      </c>
      <c r="D32" s="12">
        <f>51365+27623+439</f>
        <v>79427</v>
      </c>
      <c r="E32" s="42">
        <f>D32/C32*100</f>
        <v>59.15028299076557</v>
      </c>
      <c r="F32" s="42">
        <f>D32/'[2]BS94'!$D$32*100</f>
        <v>89.22176540630406</v>
      </c>
      <c r="G32" s="5"/>
    </row>
    <row r="33" spans="1:7" ht="12.75">
      <c r="A33" s="14">
        <v>2</v>
      </c>
      <c r="B33" s="52" t="s">
        <v>45</v>
      </c>
      <c r="C33" s="6">
        <f>1000+8000+17400+8546+9304+28920</f>
        <v>73170</v>
      </c>
      <c r="D33" s="6">
        <f>3486+16418+9292+18111+289+20287</f>
        <v>67883</v>
      </c>
      <c r="E33" s="53">
        <f>D33/C33*100</f>
        <v>92.7743610769441</v>
      </c>
      <c r="F33" s="53">
        <f>D33/'[2]BS94'!$D$33*100</f>
        <v>104.59791368125858</v>
      </c>
      <c r="G33" s="5"/>
    </row>
    <row r="34" spans="1:6" s="58" customFormat="1" ht="12" customHeight="1" hidden="1">
      <c r="A34" s="57"/>
      <c r="B34" s="57"/>
      <c r="C34" s="57"/>
      <c r="D34" s="57"/>
      <c r="E34" s="57"/>
      <c r="F34" s="57"/>
    </row>
    <row r="35" spans="2:6" ht="12.75">
      <c r="B35" s="7"/>
      <c r="C35" s="7">
        <f>'[1]T3'!$C$13/1000-C31</f>
        <v>0</v>
      </c>
      <c r="D35" s="7"/>
      <c r="E35" s="7"/>
      <c r="F35" s="7"/>
    </row>
  </sheetData>
  <sheetProtection/>
  <mergeCells count="2">
    <mergeCell ref="A5:F5"/>
    <mergeCell ref="A6:F6"/>
  </mergeCells>
  <printOptions/>
  <pageMargins left="1" right="0.4" top="1" bottom="1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I37"/>
  <sheetViews>
    <sheetView showGridLines="0" showZeros="0" tabSelected="1" zoomScale="120" zoomScaleNormal="120" zoomScalePageLayoutView="0" workbookViewId="0" topLeftCell="A10">
      <selection activeCell="I17" sqref="I17"/>
    </sheetView>
  </sheetViews>
  <sheetFormatPr defaultColWidth="9.140625" defaultRowHeight="12.75"/>
  <cols>
    <col min="1" max="1" width="5.421875" style="1" customWidth="1"/>
    <col min="2" max="2" width="44.28125" style="1" customWidth="1"/>
    <col min="3" max="3" width="9.421875" style="1" customWidth="1"/>
    <col min="4" max="4" width="9.421875" style="109" customWidth="1"/>
    <col min="5" max="6" width="9.421875" style="1" customWidth="1"/>
    <col min="7" max="7" width="10.140625" style="1" hidden="1" customWidth="1"/>
    <col min="8" max="8" width="9.421875" style="1" hidden="1" customWidth="1"/>
    <col min="9" max="9" width="10.421875" style="1" bestFit="1" customWidth="1"/>
    <col min="10" max="16384" width="9.140625" style="1" customWidth="1"/>
  </cols>
  <sheetData>
    <row r="1" spans="1:6" ht="12.75">
      <c r="A1" s="1" t="s">
        <v>75</v>
      </c>
      <c r="F1" s="2" t="s">
        <v>64</v>
      </c>
    </row>
    <row r="2" ht="12.75">
      <c r="A2" s="9" t="s">
        <v>76</v>
      </c>
    </row>
    <row r="3" ht="12.75">
      <c r="A3" s="9" t="s">
        <v>77</v>
      </c>
    </row>
    <row r="5" spans="1:6" s="3" customFormat="1" ht="16.5">
      <c r="A5" s="125" t="s">
        <v>85</v>
      </c>
      <c r="B5" s="125"/>
      <c r="C5" s="125"/>
      <c r="D5" s="125"/>
      <c r="E5" s="125"/>
      <c r="F5" s="125"/>
    </row>
    <row r="6" spans="1:6" s="4" customFormat="1" ht="12.75" hidden="1">
      <c r="A6" s="126" t="s">
        <v>55</v>
      </c>
      <c r="B6" s="126"/>
      <c r="C6" s="126"/>
      <c r="D6" s="126"/>
      <c r="E6" s="126"/>
      <c r="F6" s="126"/>
    </row>
    <row r="7" ht="12.75">
      <c r="F7" s="83" t="s">
        <v>27</v>
      </c>
    </row>
    <row r="8" spans="1:6" ht="12.75">
      <c r="A8" s="20" t="s">
        <v>0</v>
      </c>
      <c r="B8" s="20" t="s">
        <v>34</v>
      </c>
      <c r="C8" s="35" t="s">
        <v>18</v>
      </c>
      <c r="D8" s="110" t="s">
        <v>30</v>
      </c>
      <c r="E8" s="17" t="s">
        <v>36</v>
      </c>
      <c r="F8" s="17"/>
    </row>
    <row r="9" spans="1:6" ht="12.75">
      <c r="A9" s="21"/>
      <c r="B9" s="22"/>
      <c r="C9" s="34" t="s">
        <v>31</v>
      </c>
      <c r="D9" s="111" t="s">
        <v>84</v>
      </c>
      <c r="E9" s="34" t="s">
        <v>18</v>
      </c>
      <c r="F9" s="34" t="s">
        <v>32</v>
      </c>
    </row>
    <row r="10" spans="1:6" ht="12.75">
      <c r="A10" s="23"/>
      <c r="B10" s="24"/>
      <c r="C10" s="37"/>
      <c r="D10" s="112"/>
      <c r="E10" s="37" t="s">
        <v>31</v>
      </c>
      <c r="F10" s="37" t="s">
        <v>33</v>
      </c>
    </row>
    <row r="11" spans="1:6" ht="12.75">
      <c r="A11" s="16" t="s">
        <v>7</v>
      </c>
      <c r="B11" s="26" t="s">
        <v>8</v>
      </c>
      <c r="C11" s="38" t="s">
        <v>24</v>
      </c>
      <c r="D11" s="113" t="s">
        <v>25</v>
      </c>
      <c r="E11" s="38" t="s">
        <v>35</v>
      </c>
      <c r="F11" s="38" t="s">
        <v>26</v>
      </c>
    </row>
    <row r="12" spans="1:9" ht="12.75">
      <c r="A12" s="45"/>
      <c r="B12" s="46" t="s">
        <v>13</v>
      </c>
      <c r="C12" s="47">
        <f>SUM(C13,C31)</f>
        <v>1259821</v>
      </c>
      <c r="D12" s="47">
        <f>SUM(D13,D31)</f>
        <v>740030</v>
      </c>
      <c r="E12" s="48">
        <f>D12/C12*100</f>
        <v>58.740884617735375</v>
      </c>
      <c r="F12" s="48">
        <f>D12/'[2]BS95'!$D$12*100</f>
        <v>91.94072168465898</v>
      </c>
      <c r="I12" s="8"/>
    </row>
    <row r="13" spans="1:6" ht="12.75">
      <c r="A13" s="15" t="s">
        <v>7</v>
      </c>
      <c r="B13" s="60" t="s">
        <v>46</v>
      </c>
      <c r="C13" s="25">
        <f>SUM(C14,C17,C29,C30)</f>
        <v>1259821</v>
      </c>
      <c r="D13" s="25">
        <f>SUM(D14,D17,D29,D30)</f>
        <v>740030</v>
      </c>
      <c r="E13" s="39">
        <f aca="true" t="shared" si="0" ref="E13:E29">D13/C13*100</f>
        <v>58.740884617735375</v>
      </c>
      <c r="F13" s="39">
        <f>D13/'[2]BS95'!$D$13*100</f>
        <v>91.94072168465898</v>
      </c>
    </row>
    <row r="14" spans="1:9" ht="12.75">
      <c r="A14" s="10" t="s">
        <v>1</v>
      </c>
      <c r="B14" s="31" t="s">
        <v>4</v>
      </c>
      <c r="C14" s="56">
        <f>SUM(C15:C16)</f>
        <v>45934</v>
      </c>
      <c r="D14" s="114">
        <f>SUM(D15:D16)</f>
        <v>46397</v>
      </c>
      <c r="E14" s="39">
        <f t="shared" si="0"/>
        <v>101.00796795402098</v>
      </c>
      <c r="F14" s="40">
        <f>D14/'[2]BS95'!$D$14*100</f>
        <v>54.76575502543704</v>
      </c>
      <c r="G14" s="69"/>
      <c r="I14" s="103"/>
    </row>
    <row r="15" spans="1:7" ht="12.75">
      <c r="A15" s="11">
        <v>1</v>
      </c>
      <c r="B15" s="49" t="s">
        <v>47</v>
      </c>
      <c r="C15" s="98">
        <f>'BS93'!C19</f>
        <v>45934</v>
      </c>
      <c r="D15" s="115">
        <f>46397-3000</f>
        <v>43397</v>
      </c>
      <c r="E15" s="42">
        <f>D15/C15*100</f>
        <v>94.47685810075326</v>
      </c>
      <c r="F15" s="44">
        <f>D15/'[2]BS95'!$D$15*100</f>
        <v>52.83168172189623</v>
      </c>
      <c r="G15" s="8"/>
    </row>
    <row r="16" spans="1:9" ht="12.75">
      <c r="A16" s="11">
        <v>2</v>
      </c>
      <c r="B16" s="49" t="s">
        <v>48</v>
      </c>
      <c r="C16" s="54"/>
      <c r="D16" s="116">
        <v>3000</v>
      </c>
      <c r="E16" s="42"/>
      <c r="F16" s="44">
        <f>D16/'[2]BS95'!$D$16*100</f>
        <v>116.41443538998837</v>
      </c>
      <c r="G16" s="8"/>
      <c r="I16" s="100"/>
    </row>
    <row r="17" spans="1:9" ht="12.75">
      <c r="A17" s="10" t="s">
        <v>2</v>
      </c>
      <c r="B17" s="31" t="s">
        <v>5</v>
      </c>
      <c r="C17" s="56">
        <f>SUM(C19:C28)+59377+9609+1</f>
        <v>1190257</v>
      </c>
      <c r="D17" s="114">
        <f>SUM(D19:D28)+34819+2487</f>
        <v>657127</v>
      </c>
      <c r="E17" s="39">
        <f>D17/C17*100</f>
        <v>55.208833050341234</v>
      </c>
      <c r="F17" s="40">
        <f>D17/692782*100</f>
        <v>94.85335935402479</v>
      </c>
      <c r="G17" s="8">
        <f>811300-23630</f>
        <v>787670</v>
      </c>
      <c r="H17" s="100">
        <f>811300-23630-1777</f>
        <v>785893</v>
      </c>
      <c r="I17" s="69">
        <f>100-F17</f>
        <v>5.146640645975211</v>
      </c>
    </row>
    <row r="18" spans="1:8" s="65" customFormat="1" ht="12.75">
      <c r="A18" s="61"/>
      <c r="B18" s="88" t="s">
        <v>49</v>
      </c>
      <c r="C18" s="62"/>
      <c r="D18" s="117"/>
      <c r="E18" s="42"/>
      <c r="F18" s="63"/>
      <c r="G18" s="64">
        <f>811300-23630</f>
        <v>787670</v>
      </c>
      <c r="H18" s="101">
        <f>C17-H17</f>
        <v>404364</v>
      </c>
    </row>
    <row r="19" spans="1:7" ht="12.75">
      <c r="A19" s="89">
        <v>1</v>
      </c>
      <c r="B19" s="90" t="s">
        <v>15</v>
      </c>
      <c r="C19" s="54">
        <f>528854</f>
        <v>528854</v>
      </c>
      <c r="D19" s="118">
        <f>247462</f>
        <v>247462</v>
      </c>
      <c r="E19" s="86">
        <f t="shared" si="0"/>
        <v>46.79212032054215</v>
      </c>
      <c r="F19" s="87">
        <f>D19/'[2]BS95'!$D$19*100</f>
        <v>88.27581321982011</v>
      </c>
      <c r="G19" s="8">
        <f>G17-C17</f>
        <v>-402587</v>
      </c>
    </row>
    <row r="20" spans="1:7" ht="12.75">
      <c r="A20" s="89">
        <v>2</v>
      </c>
      <c r="B20" s="91" t="s">
        <v>16</v>
      </c>
      <c r="C20" s="54"/>
      <c r="D20" s="118"/>
      <c r="E20" s="86"/>
      <c r="F20" s="87"/>
      <c r="G20" s="8">
        <f>G19-144203</f>
        <v>-546790</v>
      </c>
    </row>
    <row r="21" spans="1:7" ht="12.75">
      <c r="A21" s="89">
        <v>3</v>
      </c>
      <c r="B21" s="90" t="s">
        <v>50</v>
      </c>
      <c r="C21" s="98">
        <f>112744</f>
        <v>112744</v>
      </c>
      <c r="D21" s="118">
        <f>40200</f>
        <v>40200</v>
      </c>
      <c r="E21" s="86">
        <f t="shared" si="0"/>
        <v>35.6559994323423</v>
      </c>
      <c r="F21" s="87">
        <f>D21/'[2]BS95'!$D$21*100</f>
        <v>63.4601625198976</v>
      </c>
      <c r="G21" s="8"/>
    </row>
    <row r="22" spans="1:7" ht="12.75">
      <c r="A22" s="89">
        <v>4</v>
      </c>
      <c r="B22" s="91" t="s">
        <v>51</v>
      </c>
      <c r="C22" s="54">
        <f>5116</f>
        <v>5116</v>
      </c>
      <c r="D22" s="118">
        <f>5933</f>
        <v>5933</v>
      </c>
      <c r="E22" s="86">
        <f t="shared" si="0"/>
        <v>115.96950742767787</v>
      </c>
      <c r="F22" s="87">
        <f>D22/'[2]BS95'!$D$22*100</f>
        <v>178.42224573251158</v>
      </c>
      <c r="G22" s="8"/>
    </row>
    <row r="23" spans="1:7" ht="12.75">
      <c r="A23" s="89">
        <v>5</v>
      </c>
      <c r="B23" s="90" t="s">
        <v>52</v>
      </c>
      <c r="C23" s="54"/>
      <c r="D23" s="118"/>
      <c r="E23" s="86"/>
      <c r="F23" s="87"/>
      <c r="G23" s="8"/>
    </row>
    <row r="24" spans="1:7" ht="12.75">
      <c r="A24" s="89">
        <v>6</v>
      </c>
      <c r="B24" s="90" t="s">
        <v>53</v>
      </c>
      <c r="C24" s="54">
        <f>2459</f>
        <v>2459</v>
      </c>
      <c r="D24" s="118">
        <v>971</v>
      </c>
      <c r="E24" s="86">
        <f t="shared" si="0"/>
        <v>39.48759658397722</v>
      </c>
      <c r="F24" s="87">
        <f>D24/'[2]BS95'!$D$24*100</f>
        <v>103.08862436671097</v>
      </c>
      <c r="G24" s="8"/>
    </row>
    <row r="25" spans="1:7" ht="12.75">
      <c r="A25" s="89">
        <v>7</v>
      </c>
      <c r="B25" s="90" t="s">
        <v>23</v>
      </c>
      <c r="C25" s="54">
        <f>87928</f>
        <v>87928</v>
      </c>
      <c r="D25" s="118">
        <f>47412</f>
        <v>47412</v>
      </c>
      <c r="E25" s="86">
        <f t="shared" si="0"/>
        <v>53.92139022836867</v>
      </c>
      <c r="F25" s="87">
        <f>D25/'[2]BS95'!$D$25*100</f>
        <v>83.70424288989729</v>
      </c>
      <c r="G25" s="8"/>
    </row>
    <row r="26" spans="1:7" ht="12.75">
      <c r="A26" s="89">
        <v>8</v>
      </c>
      <c r="B26" s="90" t="s">
        <v>17</v>
      </c>
      <c r="C26" s="54">
        <f>53662+6970+4154+421</f>
        <v>65207</v>
      </c>
      <c r="D26" s="118">
        <f>31780+1683+785+308</f>
        <v>34556</v>
      </c>
      <c r="E26" s="86">
        <f t="shared" si="0"/>
        <v>52.99431042679467</v>
      </c>
      <c r="F26" s="87">
        <f>D26/'[2]BS95'!$D$26*100</f>
        <v>109.0573939309857</v>
      </c>
      <c r="G26" s="8"/>
    </row>
    <row r="27" spans="1:9" ht="25.5">
      <c r="A27" s="89">
        <v>9</v>
      </c>
      <c r="B27" s="84" t="s">
        <v>66</v>
      </c>
      <c r="C27" s="85">
        <f>224577</f>
        <v>224577</v>
      </c>
      <c r="D27" s="118">
        <f>126599</f>
        <v>126599</v>
      </c>
      <c r="E27" s="86">
        <f t="shared" si="0"/>
        <v>56.37220196191062</v>
      </c>
      <c r="F27" s="87">
        <f>D27/'[2]BS95'!$D$27*100</f>
        <v>90.44618606246271</v>
      </c>
      <c r="G27" s="8"/>
      <c r="I27" s="8"/>
    </row>
    <row r="28" spans="1:7" ht="12.75">
      <c r="A28" s="89">
        <v>10</v>
      </c>
      <c r="B28" s="90" t="s">
        <v>54</v>
      </c>
      <c r="C28" s="85">
        <v>94385</v>
      </c>
      <c r="D28" s="118">
        <f>116688</f>
        <v>116688</v>
      </c>
      <c r="E28" s="86">
        <f t="shared" si="0"/>
        <v>123.62981405943741</v>
      </c>
      <c r="F28" s="87">
        <f>D28/'[2]BS95'!$D$28*100</f>
        <v>148.10965232005452</v>
      </c>
      <c r="G28" s="8"/>
    </row>
    <row r="29" spans="1:7" ht="12.75">
      <c r="A29" s="10" t="s">
        <v>3</v>
      </c>
      <c r="B29" s="31" t="s">
        <v>67</v>
      </c>
      <c r="C29" s="56">
        <v>23630</v>
      </c>
      <c r="D29" s="114"/>
      <c r="E29" s="39">
        <f t="shared" si="0"/>
        <v>0</v>
      </c>
      <c r="F29" s="40"/>
      <c r="G29" s="8"/>
    </row>
    <row r="30" spans="1:7" ht="12.75">
      <c r="A30" s="15" t="s">
        <v>80</v>
      </c>
      <c r="B30" s="60" t="s">
        <v>81</v>
      </c>
      <c r="C30" s="105"/>
      <c r="D30" s="119">
        <f>36506</f>
        <v>36506</v>
      </c>
      <c r="E30" s="39"/>
      <c r="F30" s="39"/>
      <c r="G30" s="8"/>
    </row>
    <row r="31" spans="1:6" ht="25.5">
      <c r="A31" s="93" t="s">
        <v>8</v>
      </c>
      <c r="B31" s="92" t="s">
        <v>68</v>
      </c>
      <c r="C31" s="94">
        <f>SUM(C32:C33)</f>
        <v>0</v>
      </c>
      <c r="D31" s="94">
        <f>SUM(D32:D33)</f>
        <v>0</v>
      </c>
      <c r="E31" s="95"/>
      <c r="F31" s="95">
        <f>D31/496*100</f>
        <v>0</v>
      </c>
    </row>
    <row r="32" spans="1:7" ht="12.75">
      <c r="A32" s="89">
        <v>1</v>
      </c>
      <c r="B32" s="90" t="s">
        <v>69</v>
      </c>
      <c r="C32" s="12"/>
      <c r="D32" s="118"/>
      <c r="E32" s="86"/>
      <c r="F32" s="86"/>
      <c r="G32" s="8"/>
    </row>
    <row r="33" spans="1:7" ht="12.75">
      <c r="A33" s="89">
        <v>2</v>
      </c>
      <c r="B33" s="90" t="s">
        <v>70</v>
      </c>
      <c r="C33" s="96">
        <f>SUM(C34)</f>
        <v>0</v>
      </c>
      <c r="D33" s="120">
        <f>SUM(D34)</f>
        <v>0</v>
      </c>
      <c r="E33" s="95"/>
      <c r="F33" s="95">
        <f>D33/385*100</f>
        <v>0</v>
      </c>
      <c r="G33" s="8"/>
    </row>
    <row r="34" spans="1:7" ht="12.75">
      <c r="A34" s="89">
        <v>3</v>
      </c>
      <c r="B34" s="90" t="s">
        <v>71</v>
      </c>
      <c r="C34" s="97"/>
      <c r="D34" s="97"/>
      <c r="E34" s="86"/>
      <c r="F34" s="86">
        <f>D34/385*100</f>
        <v>0</v>
      </c>
      <c r="G34" s="8"/>
    </row>
    <row r="35" spans="1:7" ht="12.75">
      <c r="A35" s="19"/>
      <c r="B35" s="33"/>
      <c r="C35" s="29"/>
      <c r="D35" s="29"/>
      <c r="E35" s="43"/>
      <c r="F35" s="53">
        <f>D35/385*100</f>
        <v>0</v>
      </c>
      <c r="G35" s="5"/>
    </row>
    <row r="36" spans="1:6" s="58" customFormat="1" ht="12" customHeight="1">
      <c r="A36" s="57"/>
      <c r="B36" s="57"/>
      <c r="C36" s="57"/>
      <c r="D36" s="121"/>
      <c r="E36" s="57"/>
      <c r="F36" s="57"/>
    </row>
    <row r="37" spans="2:6" ht="12.75">
      <c r="B37" s="7"/>
      <c r="C37" s="7"/>
      <c r="D37" s="122"/>
      <c r="E37" s="7"/>
      <c r="F37" s="7"/>
    </row>
  </sheetData>
  <sheetProtection/>
  <mergeCells count="2">
    <mergeCell ref="A5:F5"/>
    <mergeCell ref="A6:F6"/>
  </mergeCells>
  <printOptions/>
  <pageMargins left="1" right="0.5" top="0.85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2020-10-13T08:50:43Z</cp:lastPrinted>
  <dcterms:created xsi:type="dcterms:W3CDTF">2001-08-16T01:23:45Z</dcterms:created>
  <dcterms:modified xsi:type="dcterms:W3CDTF">2020-10-13T08:59:36Z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Ng">
    <vt:lpwstr>2020-10-20T00:00:00Z</vt:lpwstr>
  </property>
  <property fmtid="{D5CDD505-2E9C-101B-9397-08002B2CF9AE}" pid="4" name="ContentTy">
    <vt:lpwstr>Hình ảnh</vt:lpwstr>
  </property>
  <property fmtid="{D5CDD505-2E9C-101B-9397-08002B2CF9AE}" pid="5" name="Ngày g">
    <vt:lpwstr>2020-10-20T14:05:00Z</vt:lpwstr>
  </property>
</Properties>
</file>