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7770" activeTab="2"/>
  </bookViews>
  <sheets>
    <sheet name="BS93" sheetId="1" r:id="rId1"/>
    <sheet name="BS94" sheetId="2" r:id="rId2"/>
    <sheet name="BS95" sheetId="3" r:id="rId3"/>
  </sheets>
  <definedNames>
    <definedName name="_xlnm.Print_Titles" localSheetId="0">'BS93'!$8:$8</definedName>
    <definedName name="_xlnm.Print_Titles" localSheetId="1">'BS94'!$8:$8</definedName>
    <definedName name="_xlnm.Print_Titles" localSheetId="2">'BS95'!$8:$8</definedName>
  </definedNames>
  <calcPr fullCalcOnLoad="1"/>
</workbook>
</file>

<file path=xl/sharedStrings.xml><?xml version="1.0" encoding="utf-8"?>
<sst xmlns="http://schemas.openxmlformats.org/spreadsheetml/2006/main" count="143" uniqueCount="84">
  <si>
    <t>STT</t>
  </si>
  <si>
    <t>I</t>
  </si>
  <si>
    <t>II</t>
  </si>
  <si>
    <t>III</t>
  </si>
  <si>
    <t>Chi đầu tư phát triển</t>
  </si>
  <si>
    <t>Chi thường xuyên</t>
  </si>
  <si>
    <t>Dự phòng</t>
  </si>
  <si>
    <t>A</t>
  </si>
  <si>
    <t>B</t>
  </si>
  <si>
    <t>Thu nội địa</t>
  </si>
  <si>
    <t>Thuế sử dụng đất nông nghiệp</t>
  </si>
  <si>
    <t>Các khoản thu về nhà, đất</t>
  </si>
  <si>
    <t>Thu khác ngân sách</t>
  </si>
  <si>
    <t>TỔNG CHI NGÂN SÁCH QUẬN</t>
  </si>
  <si>
    <t>Tổng chi cân đối ngân sách quận</t>
  </si>
  <si>
    <t>Chi giáo dục, đào tạo và dạy nghề</t>
  </si>
  <si>
    <t>Chi khoa học công nghệ</t>
  </si>
  <si>
    <t>Chi sự nghiệp kinh tế</t>
  </si>
  <si>
    <t>Dự toán</t>
  </si>
  <si>
    <t>Thu từ hoạt động xổ số kiến thiết</t>
  </si>
  <si>
    <t>Thuế thu nhập cá nhân</t>
  </si>
  <si>
    <t>Thuế sử dụng đất phi nông nghiệp</t>
  </si>
  <si>
    <t>Thuế bảo vệ môi trường</t>
  </si>
  <si>
    <t>Chi sự nghiệp bảo vệ môi trường</t>
  </si>
  <si>
    <t>1</t>
  </si>
  <si>
    <t>2</t>
  </si>
  <si>
    <t>4</t>
  </si>
  <si>
    <t>ĐV: Triệu đồng</t>
  </si>
  <si>
    <t>Thu chuyển nguồn từ năm trước chuyển sang</t>
  </si>
  <si>
    <t>Ngân sách quận bao gồm ngân sách cấp quận và ngân sách phường, không tính ghi thu ghi chi.</t>
  </si>
  <si>
    <t>Thực hiện</t>
  </si>
  <si>
    <t>năm</t>
  </si>
  <si>
    <t>Cùng kỳ</t>
  </si>
  <si>
    <t>năm trước</t>
  </si>
  <si>
    <t>Nội dung</t>
  </si>
  <si>
    <t>3=2/1</t>
  </si>
  <si>
    <t>So sánh (%)</t>
  </si>
  <si>
    <t>Thu từ khu vực doanh nghiệp nhà nước</t>
  </si>
  <si>
    <t>Thu từ khu vực doanh nghiệp có vốn đầu tư nước ngoài</t>
  </si>
  <si>
    <t>Thu từ khu vực kinh tế ngoài quốc doanh</t>
  </si>
  <si>
    <t>Thu tiền sử dụng đất</t>
  </si>
  <si>
    <t>Thu quỹ đất công ích, hoa lợi công sản khác</t>
  </si>
  <si>
    <t>Thu viện trợ</t>
  </si>
  <si>
    <t>THU NS QUẬN ĐƯỢC HƯỞNG THEO PHÂN CẤP</t>
  </si>
  <si>
    <t>Từ các khoản thu phân chia</t>
  </si>
  <si>
    <t>Các khoản thu hưởng 100%</t>
  </si>
  <si>
    <t>CHI CÂN ĐỐI NGÂN SÁCH QUẬN</t>
  </si>
  <si>
    <t>Chi đầu tư cho các dự án</t>
  </si>
  <si>
    <t>Chi đầu tư phát triển khác</t>
  </si>
  <si>
    <t>Trong đó:</t>
  </si>
  <si>
    <t>Chi y tế, dân số và gia đình</t>
  </si>
  <si>
    <t>Chi sự nghiệp văn hóa thông tin</t>
  </si>
  <si>
    <t>Chi sự nghiệp phát thanh, truyền hình</t>
  </si>
  <si>
    <t>Chi sự nghiệp thể dục thể thao</t>
  </si>
  <si>
    <t>Chi bảo đảm xã hội</t>
  </si>
  <si>
    <t>(Kèm theo Thông báo số                  /TB-UBND ngày           tháng 4 năm 2017 của Ủy ban nhân dân Quận 8)</t>
  </si>
  <si>
    <t>Biểu số 93/CK-NSNN</t>
  </si>
  <si>
    <t>Dự toán năm</t>
  </si>
  <si>
    <t>So sánh thực hiện với (%)</t>
  </si>
  <si>
    <t>Thu cân đối NSNN</t>
  </si>
  <si>
    <t>Lệ phí trước bạ</t>
  </si>
  <si>
    <t>Thu phí, lệ phí</t>
  </si>
  <si>
    <t>Tiền cho thuê đất, thuê mặt nước</t>
  </si>
  <si>
    <t>Tiền cho thuê và tiền bán nhà ở thuộc sở hữu nhà nước</t>
  </si>
  <si>
    <t>Biểu số 95/CK-NSNN</t>
  </si>
  <si>
    <t>Biểu số 94/CK-NSNN</t>
  </si>
  <si>
    <t>Chi hoạt động của cơ quan quản lý hành chính, đảng, đoàn thể</t>
  </si>
  <si>
    <t>Dự phòng ngân sách</t>
  </si>
  <si>
    <t>CHI TỪ NGUỒN BỔ SUNG CÓ MỤC TIÊU TỪ NGÂN SÁCH CẤP TRÊN</t>
  </si>
  <si>
    <t>Chương trình mục tiêu quốc gia</t>
  </si>
  <si>
    <t>Cho các chương trình dự án quan trọng vốn đầu tư</t>
  </si>
  <si>
    <t>Cho các nhiệm vụ, chính sách kinh phí thường xuyên</t>
  </si>
  <si>
    <t>Chi từ nguồn bổ sung có mục tiêu từ NS cấp trên</t>
  </si>
  <si>
    <t xml:space="preserve">TỔNG NGUỒN THU NSNN TRÊN ĐỊA BÀN </t>
  </si>
  <si>
    <t xml:space="preserve">TỔNG THU NSNN TRÊN ĐỊA BÀN </t>
  </si>
  <si>
    <t xml:space="preserve">     ỦY BAN NHÂN DÂN QUẬN 8</t>
  </si>
  <si>
    <t>PHÒNG TÀI CHÍNH - KẾ HOẠCH</t>
  </si>
  <si>
    <t xml:space="preserve">                   _______</t>
  </si>
  <si>
    <t>Dự toán chi đầu tư phát triển: được giao theo Quyết định số 6146/QĐ-UBND ngày 28/12/2018 của UBND TPHCM</t>
  </si>
  <si>
    <t xml:space="preserve">                   __________</t>
  </si>
  <si>
    <t>CÂN ĐỐI NGÂN SÁCH QUẬN 6 THÁNG NĂM 2019</t>
  </si>
  <si>
    <t>THỰC HIỆN THU NGÂN SÁCH NHÀ NƯỚC 6 THÁNG NĂM 2019</t>
  </si>
  <si>
    <t>THỰC HIỆN CHI NGÂN SÁCH QUẬN 6 THÁNG NĂM 2019</t>
  </si>
  <si>
    <t>6 tháng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</si>
</sst>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[Red]\(#,##0.0\)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  <numFmt numFmtId="179" formatCode="#,##0.0000"/>
    <numFmt numFmtId="180" formatCode="#,##0.00000"/>
    <numFmt numFmtId="181" formatCode="_-* #,##0\ &quot;Ft&quot;_-;\-* #,##0\ &quot;Ft&quot;_-;_-* &quot;-&quot;\ &quot;Ft&quot;_-;_-@_-"/>
    <numFmt numFmtId="182" formatCode="_-* #,##0\ _F_t_-;\-* #,##0\ _F_t_-;_-* &quot;-&quot;\ _F_t_-;_-@_-"/>
    <numFmt numFmtId="183" formatCode="_-* #,##0.00\ &quot;Ft&quot;_-;\-* #,##0.00\ &quot;Ft&quot;_-;_-* &quot;-&quot;??\ &quot;Ft&quot;_-;_-@_-"/>
    <numFmt numFmtId="184" formatCode="_-* #,##0.00\ _F_t_-;\-* #,##0.00\ _F_t_-;_-* &quot;-&quot;??\ _F_t_-;_-@_-"/>
    <numFmt numFmtId="185" formatCode="0.000"/>
    <numFmt numFmtId="186" formatCode="_-* #,##0\ _F_t_-;\-* #,##0\ _F_t_-;_-* &quot;-&quot;??\ _F_t_-;_-@_-"/>
    <numFmt numFmtId="187" formatCode="#,##0;[Red]#,##0"/>
    <numFmt numFmtId="188" formatCode="_-* #,##0.000\ _F_t_-;\-* #,##0.000\ _F_t_-;_-* &quot;-&quot;??\ _F_t_-;_-@_-"/>
    <numFmt numFmtId="189" formatCode="#,##0.0;[Red]\-#,##0.0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VNI-Times"/>
      <family val="0"/>
    </font>
    <font>
      <sz val="9"/>
      <name val="Times New Roman"/>
      <family val="1"/>
    </font>
    <font>
      <sz val="10"/>
      <name val="Arial"/>
      <family val="2"/>
    </font>
    <font>
      <b/>
      <sz val="10"/>
      <color indexed="1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3" fontId="6" fillId="0" borderId="10" xfId="43" applyNumberFormat="1" applyFont="1" applyFill="1" applyBorder="1" applyAlignment="1">
      <alignment/>
    </xf>
    <xf numFmtId="3" fontId="6" fillId="0" borderId="0" xfId="43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6" fillId="0" borderId="11" xfId="43" applyNumberFormat="1" applyFont="1" applyFill="1" applyBorder="1" applyAlignment="1">
      <alignment/>
    </xf>
    <xf numFmtId="3" fontId="6" fillId="0" borderId="11" xfId="43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3" fontId="9" fillId="0" borderId="12" xfId="43" applyNumberFormat="1" applyFont="1" applyFill="1" applyBorder="1" applyAlignment="1">
      <alignment/>
    </xf>
    <xf numFmtId="0" fontId="6" fillId="0" borderId="19" xfId="0" applyFont="1" applyBorder="1" applyAlignment="1">
      <alignment horizontal="center"/>
    </xf>
    <xf numFmtId="3" fontId="9" fillId="0" borderId="11" xfId="43" applyNumberFormat="1" applyFont="1" applyFill="1" applyBorder="1" applyAlignment="1">
      <alignment/>
    </xf>
    <xf numFmtId="3" fontId="16" fillId="0" borderId="11" xfId="43" applyNumberFormat="1" applyFont="1" applyFill="1" applyBorder="1" applyAlignment="1">
      <alignment/>
    </xf>
    <xf numFmtId="3" fontId="9" fillId="0" borderId="10" xfId="43" applyNumberFormat="1" applyFont="1" applyFill="1" applyBorder="1" applyAlignment="1">
      <alignment/>
    </xf>
    <xf numFmtId="0" fontId="9" fillId="0" borderId="20" xfId="0" applyFont="1" applyBorder="1" applyAlignment="1">
      <alignment/>
    </xf>
    <xf numFmtId="0" fontId="9" fillId="0" borderId="11" xfId="0" applyFont="1" applyBorder="1" applyAlignment="1">
      <alignment/>
    </xf>
    <xf numFmtId="0" fontId="6" fillId="0" borderId="2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15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9" fillId="0" borderId="21" xfId="0" applyFont="1" applyBorder="1" applyAlignment="1">
      <alignment/>
    </xf>
    <xf numFmtId="0" fontId="6" fillId="0" borderId="17" xfId="0" applyFont="1" applyBorder="1" applyAlignment="1">
      <alignment horizontal="centerContinuous"/>
    </xf>
    <xf numFmtId="0" fontId="6" fillId="0" borderId="13" xfId="0" applyFont="1" applyBorder="1" applyAlignment="1" quotePrefix="1">
      <alignment horizontal="centerContinuous"/>
    </xf>
    <xf numFmtId="4" fontId="9" fillId="0" borderId="12" xfId="43" applyNumberFormat="1" applyFont="1" applyFill="1" applyBorder="1" applyAlignment="1">
      <alignment/>
    </xf>
    <xf numFmtId="4" fontId="9" fillId="0" borderId="11" xfId="43" applyNumberFormat="1" applyFont="1" applyFill="1" applyBorder="1" applyAlignment="1">
      <alignment/>
    </xf>
    <xf numFmtId="4" fontId="6" fillId="0" borderId="11" xfId="43" applyNumberFormat="1" applyFont="1" applyBorder="1" applyAlignment="1">
      <alignment/>
    </xf>
    <xf numFmtId="4" fontId="6" fillId="0" borderId="12" xfId="43" applyNumberFormat="1" applyFont="1" applyFill="1" applyBorder="1" applyAlignment="1">
      <alignment/>
    </xf>
    <xf numFmtId="4" fontId="9" fillId="0" borderId="10" xfId="43" applyNumberFormat="1" applyFont="1" applyFill="1" applyBorder="1" applyAlignment="1">
      <alignment/>
    </xf>
    <xf numFmtId="4" fontId="6" fillId="0" borderId="11" xfId="43" applyNumberFormat="1" applyFont="1" applyFill="1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22" xfId="0" applyFont="1" applyBorder="1" applyAlignment="1">
      <alignment/>
    </xf>
    <xf numFmtId="3" fontId="9" fillId="0" borderId="22" xfId="43" applyNumberFormat="1" applyFont="1" applyFill="1" applyBorder="1" applyAlignment="1">
      <alignment/>
    </xf>
    <xf numFmtId="4" fontId="9" fillId="0" borderId="22" xfId="43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0" xfId="0" applyFont="1" applyBorder="1" applyAlignment="1">
      <alignment/>
    </xf>
    <xf numFmtId="4" fontId="6" fillId="0" borderId="10" xfId="43" applyNumberFormat="1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4" fontId="10" fillId="0" borderId="12" xfId="43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3" fontId="14" fillId="0" borderId="11" xfId="0" applyNumberFormat="1" applyFont="1" applyBorder="1" applyAlignment="1">
      <alignment/>
    </xf>
    <xf numFmtId="4" fontId="14" fillId="0" borderId="11" xfId="43" applyNumberFormat="1" applyFont="1" applyFill="1" applyBorder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" fontId="9" fillId="0" borderId="11" xfId="43" applyNumberFormat="1" applyFont="1" applyBorder="1" applyAlignment="1">
      <alignment/>
    </xf>
    <xf numFmtId="4" fontId="10" fillId="0" borderId="11" xfId="43" applyNumberFormat="1" applyFont="1" applyFill="1" applyBorder="1" applyAlignment="1">
      <alignment/>
    </xf>
    <xf numFmtId="38" fontId="6" fillId="0" borderId="0" xfId="42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/>
    </xf>
    <xf numFmtId="3" fontId="6" fillId="0" borderId="12" xfId="43" applyNumberFormat="1" applyFont="1" applyFill="1" applyBorder="1" applyAlignment="1">
      <alignment/>
    </xf>
    <xf numFmtId="0" fontId="9" fillId="0" borderId="23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Continuous"/>
    </xf>
    <xf numFmtId="0" fontId="9" fillId="0" borderId="13" xfId="0" applyFont="1" applyBorder="1" applyAlignment="1">
      <alignment horizontal="centerContinuous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Continuous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Continuous"/>
    </xf>
    <xf numFmtId="0" fontId="10" fillId="0" borderId="0" xfId="0" applyFont="1" applyAlignment="1">
      <alignment horizontal="right"/>
    </xf>
    <xf numFmtId="0" fontId="6" fillId="0" borderId="11" xfId="0" applyFont="1" applyBorder="1" applyAlignment="1">
      <alignment vertical="top" wrapText="1"/>
    </xf>
    <xf numFmtId="3" fontId="6" fillId="0" borderId="11" xfId="0" applyNumberFormat="1" applyFont="1" applyBorder="1" applyAlignment="1">
      <alignment vertical="top"/>
    </xf>
    <xf numFmtId="4" fontId="6" fillId="0" borderId="12" xfId="43" applyNumberFormat="1" applyFont="1" applyFill="1" applyBorder="1" applyAlignment="1">
      <alignment vertical="top"/>
    </xf>
    <xf numFmtId="4" fontId="6" fillId="0" borderId="11" xfId="43" applyNumberFormat="1" applyFont="1" applyFill="1" applyBorder="1" applyAlignment="1">
      <alignment vertical="top"/>
    </xf>
    <xf numFmtId="0" fontId="17" fillId="0" borderId="11" xfId="0" applyFont="1" applyBorder="1" applyAlignment="1">
      <alignment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/>
    </xf>
    <xf numFmtId="3" fontId="9" fillId="0" borderId="12" xfId="43" applyNumberFormat="1" applyFont="1" applyFill="1" applyBorder="1" applyAlignment="1">
      <alignment vertical="top"/>
    </xf>
    <xf numFmtId="4" fontId="9" fillId="0" borderId="12" xfId="43" applyNumberFormat="1" applyFont="1" applyFill="1" applyBorder="1" applyAlignment="1">
      <alignment vertical="top"/>
    </xf>
    <xf numFmtId="3" fontId="9" fillId="0" borderId="11" xfId="0" applyNumberFormat="1" applyFont="1" applyBorder="1" applyAlignment="1">
      <alignment vertical="top"/>
    </xf>
    <xf numFmtId="3" fontId="6" fillId="0" borderId="11" xfId="43" applyNumberFormat="1" applyFont="1" applyFill="1" applyBorder="1" applyAlignment="1">
      <alignment vertical="top"/>
    </xf>
    <xf numFmtId="3" fontId="52" fillId="0" borderId="11" xfId="0" applyNumberFormat="1" applyFont="1" applyBorder="1" applyAlignment="1">
      <alignment/>
    </xf>
    <xf numFmtId="178" fontId="6" fillId="0" borderId="0" xfId="0" applyNumberFormat="1" applyFont="1" applyAlignment="1" quotePrefix="1">
      <alignment/>
    </xf>
    <xf numFmtId="40" fontId="6" fillId="0" borderId="0" xfId="42" applyFont="1" applyAlignment="1">
      <alignment/>
    </xf>
    <xf numFmtId="4" fontId="14" fillId="0" borderId="0" xfId="0" applyNumberFormat="1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9" fontId="6" fillId="0" borderId="0" xfId="71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3" xfId="46"/>
    <cellStyle name="Comma 4" xfId="47"/>
    <cellStyle name="Comma 5" xfId="48"/>
    <cellStyle name="Comma 6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3 2" xfId="66"/>
    <cellStyle name="Normal 4" xfId="67"/>
    <cellStyle name="Normal 4 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="120" zoomScaleNormal="120" zoomScalePageLayoutView="0" workbookViewId="0" topLeftCell="A1">
      <selection activeCell="D16" sqref="D16"/>
    </sheetView>
  </sheetViews>
  <sheetFormatPr defaultColWidth="9.140625" defaultRowHeight="12.75"/>
  <cols>
    <col min="1" max="1" width="5.421875" style="1" customWidth="1"/>
    <col min="2" max="2" width="39.57421875" style="1" customWidth="1"/>
    <col min="3" max="6" width="10.57421875" style="1" customWidth="1"/>
    <col min="7" max="7" width="10.421875" style="1" bestFit="1" customWidth="1"/>
    <col min="8" max="16384" width="9.140625" style="1" customWidth="1"/>
  </cols>
  <sheetData>
    <row r="1" spans="1:6" ht="12.75">
      <c r="A1" s="1" t="s">
        <v>75</v>
      </c>
      <c r="F1" s="2" t="s">
        <v>56</v>
      </c>
    </row>
    <row r="2" ht="12.75">
      <c r="A2" s="9" t="s">
        <v>76</v>
      </c>
    </row>
    <row r="3" ht="12.75">
      <c r="A3" s="9" t="s">
        <v>79</v>
      </c>
    </row>
    <row r="4" ht="12.75">
      <c r="A4" s="9"/>
    </row>
    <row r="5" spans="1:6" s="3" customFormat="1" ht="16.5">
      <c r="A5" s="107" t="s">
        <v>80</v>
      </c>
      <c r="B5" s="107"/>
      <c r="C5" s="107"/>
      <c r="D5" s="107"/>
      <c r="E5" s="107"/>
      <c r="F5" s="107"/>
    </row>
    <row r="6" spans="1:6" s="4" customFormat="1" ht="12.75" hidden="1">
      <c r="A6" s="108" t="s">
        <v>55</v>
      </c>
      <c r="B6" s="108"/>
      <c r="C6" s="108"/>
      <c r="D6" s="108"/>
      <c r="E6" s="108"/>
      <c r="F6" s="108"/>
    </row>
    <row r="7" ht="12.75">
      <c r="F7" s="84" t="s">
        <v>27</v>
      </c>
    </row>
    <row r="8" spans="1:6" ht="12.75">
      <c r="A8" s="75" t="s">
        <v>0</v>
      </c>
      <c r="B8" s="75" t="s">
        <v>34</v>
      </c>
      <c r="C8" s="76" t="s">
        <v>18</v>
      </c>
      <c r="D8" s="76" t="s">
        <v>30</v>
      </c>
      <c r="E8" s="77" t="s">
        <v>58</v>
      </c>
      <c r="F8" s="77"/>
    </row>
    <row r="9" spans="1:6" ht="12.75">
      <c r="A9" s="78"/>
      <c r="B9" s="79"/>
      <c r="C9" s="80" t="s">
        <v>31</v>
      </c>
      <c r="D9" s="80" t="s">
        <v>83</v>
      </c>
      <c r="E9" s="80" t="s">
        <v>57</v>
      </c>
      <c r="F9" s="80" t="s">
        <v>32</v>
      </c>
    </row>
    <row r="10" spans="1:6" ht="12.75">
      <c r="A10" s="81"/>
      <c r="B10" s="82"/>
      <c r="C10" s="83"/>
      <c r="D10" s="83"/>
      <c r="E10" s="83"/>
      <c r="F10" s="83" t="s">
        <v>33</v>
      </c>
    </row>
    <row r="11" spans="1:6" ht="12.75">
      <c r="A11" s="16" t="s">
        <v>7</v>
      </c>
      <c r="B11" s="26" t="s">
        <v>8</v>
      </c>
      <c r="C11" s="38" t="s">
        <v>24</v>
      </c>
      <c r="D11" s="38" t="s">
        <v>25</v>
      </c>
      <c r="E11" s="38" t="s">
        <v>35</v>
      </c>
      <c r="F11" s="38" t="s">
        <v>26</v>
      </c>
    </row>
    <row r="12" spans="1:7" ht="12.75">
      <c r="A12" s="15" t="s">
        <v>7</v>
      </c>
      <c r="B12" s="36" t="s">
        <v>73</v>
      </c>
      <c r="C12" s="25">
        <f>C13+C16</f>
        <v>1285481</v>
      </c>
      <c r="D12" s="25">
        <f>D13+D16</f>
        <v>642861</v>
      </c>
      <c r="E12" s="39">
        <f>D12/C12*100</f>
        <v>50.00937392306849</v>
      </c>
      <c r="F12" s="39">
        <f>D12/522222*100</f>
        <v>123.10109493663614</v>
      </c>
      <c r="G12" s="8"/>
    </row>
    <row r="13" spans="1:6" ht="12.75">
      <c r="A13" s="10" t="s">
        <v>1</v>
      </c>
      <c r="B13" s="31" t="s">
        <v>59</v>
      </c>
      <c r="C13" s="27">
        <f>SUM(C14:C15)</f>
        <v>1285481</v>
      </c>
      <c r="D13" s="27">
        <f>SUM(D14:D15)</f>
        <v>596652</v>
      </c>
      <c r="E13" s="39">
        <f>D13/C13*100</f>
        <v>46.41468835400912</v>
      </c>
      <c r="F13" s="67">
        <f>D13/(522222-45515)*100</f>
        <v>125.16115769225122</v>
      </c>
    </row>
    <row r="14" spans="1:6" ht="12.75">
      <c r="A14" s="11">
        <v>1</v>
      </c>
      <c r="B14" s="32" t="s">
        <v>9</v>
      </c>
      <c r="C14" s="13">
        <v>1285481</v>
      </c>
      <c r="D14" s="13">
        <f>642861-46209</f>
        <v>596652</v>
      </c>
      <c r="E14" s="42">
        <f>D14/C14*100</f>
        <v>46.41468835400912</v>
      </c>
      <c r="F14" s="41">
        <f>D14/(522222-45515)*100</f>
        <v>125.16115769225122</v>
      </c>
    </row>
    <row r="15" spans="1:6" ht="12.75">
      <c r="A15" s="11">
        <v>2</v>
      </c>
      <c r="B15" s="32" t="s">
        <v>42</v>
      </c>
      <c r="C15" s="13"/>
      <c r="D15" s="13"/>
      <c r="E15" s="42"/>
      <c r="F15" s="41"/>
    </row>
    <row r="16" spans="1:6" ht="12.75">
      <c r="A16" s="10" t="s">
        <v>2</v>
      </c>
      <c r="B16" s="31" t="s">
        <v>28</v>
      </c>
      <c r="C16" s="28"/>
      <c r="D16" s="28">
        <f>46209</f>
        <v>46209</v>
      </c>
      <c r="E16" s="39"/>
      <c r="F16" s="67">
        <f>D16/45515*100</f>
        <v>101.52477205316927</v>
      </c>
    </row>
    <row r="17" spans="1:8" ht="12.75">
      <c r="A17" s="10" t="s">
        <v>8</v>
      </c>
      <c r="B17" s="30" t="s">
        <v>13</v>
      </c>
      <c r="C17" s="27">
        <f>SUM(C18,C22,C25)</f>
        <v>1285481</v>
      </c>
      <c r="D17" s="27">
        <f>SUM(D18,D22,D25)</f>
        <v>483463.172</v>
      </c>
      <c r="E17" s="39">
        <f>D17/C17*100</f>
        <v>37.609515193145604</v>
      </c>
      <c r="F17" s="39">
        <f>D17/375863*100</f>
        <v>128.62749778509723</v>
      </c>
      <c r="G17" s="8"/>
      <c r="H17" s="70"/>
    </row>
    <row r="18" spans="1:7" ht="12.75">
      <c r="A18" s="10" t="s">
        <v>1</v>
      </c>
      <c r="B18" s="30" t="s">
        <v>14</v>
      </c>
      <c r="C18" s="27">
        <f>SUM(C19:C21)</f>
        <v>1285481</v>
      </c>
      <c r="D18" s="27">
        <f>SUM(D19:D21)</f>
        <v>483463.172</v>
      </c>
      <c r="E18" s="39">
        <f>D18/C18*100</f>
        <v>37.609515193145604</v>
      </c>
      <c r="F18" s="39">
        <f>D18/(375863)*100</f>
        <v>128.62749778509723</v>
      </c>
      <c r="G18" s="5"/>
    </row>
    <row r="19" spans="1:7" ht="12.75">
      <c r="A19" s="11">
        <v>1</v>
      </c>
      <c r="B19" s="32" t="s">
        <v>4</v>
      </c>
      <c r="C19" s="12">
        <v>105803</v>
      </c>
      <c r="D19" s="12">
        <v>34943.172</v>
      </c>
      <c r="E19" s="42">
        <f>D19/C19*100</f>
        <v>33.02663629575721</v>
      </c>
      <c r="F19" s="42">
        <f>D19/27344*100</f>
        <v>127.79100351082504</v>
      </c>
      <c r="G19" s="5"/>
    </row>
    <row r="20" spans="1:7" ht="12.75">
      <c r="A20" s="11">
        <v>2</v>
      </c>
      <c r="B20" s="32" t="s">
        <v>5</v>
      </c>
      <c r="C20" s="12">
        <f>1179678-23630</f>
        <v>1156048</v>
      </c>
      <c r="D20" s="12">
        <v>448520</v>
      </c>
      <c r="E20" s="42">
        <f>D20/C20*100</f>
        <v>38.79769698144022</v>
      </c>
      <c r="F20" s="42">
        <f>D20/(348519)*100</f>
        <v>128.6931272039688</v>
      </c>
      <c r="G20" s="100"/>
    </row>
    <row r="21" spans="1:7" ht="12.75">
      <c r="A21" s="11">
        <v>3</v>
      </c>
      <c r="B21" s="32" t="s">
        <v>6</v>
      </c>
      <c r="C21" s="12">
        <v>23630</v>
      </c>
      <c r="D21" s="12"/>
      <c r="E21" s="42">
        <f>D21/C21*100</f>
        <v>0</v>
      </c>
      <c r="F21" s="42"/>
      <c r="G21" s="5"/>
    </row>
    <row r="22" spans="1:7" ht="12.75">
      <c r="A22" s="19" t="s">
        <v>2</v>
      </c>
      <c r="B22" s="74" t="s">
        <v>72</v>
      </c>
      <c r="C22" s="29"/>
      <c r="D22" s="29"/>
      <c r="E22" s="43"/>
      <c r="F22" s="43">
        <f>D22/496*100</f>
        <v>0</v>
      </c>
      <c r="G22" s="5"/>
    </row>
    <row r="23" spans="1:7" ht="12.75" hidden="1">
      <c r="A23" s="71"/>
      <c r="B23" s="72"/>
      <c r="C23" s="73"/>
      <c r="D23" s="73"/>
      <c r="E23" s="42"/>
      <c r="F23" s="42"/>
      <c r="G23" s="5"/>
    </row>
    <row r="24" spans="1:7" ht="12.75" hidden="1">
      <c r="A24" s="11"/>
      <c r="B24" s="32"/>
      <c r="C24" s="12"/>
      <c r="D24" s="12"/>
      <c r="E24" s="42"/>
      <c r="F24" s="42"/>
      <c r="G24" s="5"/>
    </row>
    <row r="25" spans="1:6" ht="12.75" hidden="1">
      <c r="A25" s="19"/>
      <c r="B25" s="33"/>
      <c r="C25" s="29"/>
      <c r="D25" s="29"/>
      <c r="E25" s="43"/>
      <c r="F25" s="43"/>
    </row>
    <row r="26" spans="1:6" ht="12" customHeight="1" hidden="1">
      <c r="A26" s="106"/>
      <c r="B26" s="106"/>
      <c r="C26" s="106"/>
      <c r="D26" s="18"/>
      <c r="E26" s="18"/>
      <c r="F26" s="18"/>
    </row>
    <row r="27" spans="1:6" ht="12.75">
      <c r="A27" s="1" t="s">
        <v>29</v>
      </c>
      <c r="B27" s="7"/>
      <c r="C27" s="7"/>
      <c r="D27" s="7"/>
      <c r="E27" s="7"/>
      <c r="F27" s="7"/>
    </row>
    <row r="28" ht="12.75">
      <c r="A28" s="104" t="s">
        <v>78</v>
      </c>
    </row>
    <row r="29" ht="12.75">
      <c r="A29" s="103"/>
    </row>
    <row r="32" ht="12.75">
      <c r="D32" s="69"/>
    </row>
    <row r="33" ht="12.75">
      <c r="D33" s="69"/>
    </row>
    <row r="34" ht="12.75">
      <c r="D34" s="69"/>
    </row>
    <row r="35" ht="12.75">
      <c r="D35" s="69"/>
    </row>
    <row r="36" ht="12.75">
      <c r="D36" s="69"/>
    </row>
    <row r="37" ht="12.75">
      <c r="D37" s="69"/>
    </row>
    <row r="38" ht="12.75">
      <c r="D38" s="69"/>
    </row>
    <row r="39" ht="12.75">
      <c r="D39" s="69"/>
    </row>
    <row r="40" ht="12.75">
      <c r="D40" s="69"/>
    </row>
  </sheetData>
  <sheetProtection/>
  <mergeCells count="3">
    <mergeCell ref="A26:C26"/>
    <mergeCell ref="A5:F5"/>
    <mergeCell ref="A6:F6"/>
  </mergeCells>
  <printOptions/>
  <pageMargins left="1" right="0.5" top="1" bottom="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zoomScale="120" zoomScaleNormal="120" zoomScalePageLayoutView="0" workbookViewId="0" topLeftCell="A7">
      <selection activeCell="D14" sqref="D14:D15"/>
    </sheetView>
  </sheetViews>
  <sheetFormatPr defaultColWidth="9.140625" defaultRowHeight="12.75"/>
  <cols>
    <col min="1" max="1" width="5.421875" style="1" customWidth="1"/>
    <col min="2" max="2" width="44.28125" style="1" customWidth="1"/>
    <col min="3" max="5" width="9.421875" style="1" customWidth="1"/>
    <col min="6" max="6" width="11.28125" style="1" customWidth="1"/>
    <col min="7" max="7" width="10.140625" style="1" bestFit="1" customWidth="1"/>
    <col min="8" max="16384" width="9.140625" style="1" customWidth="1"/>
  </cols>
  <sheetData>
    <row r="1" spans="1:6" ht="12.75">
      <c r="A1" s="1" t="s">
        <v>75</v>
      </c>
      <c r="F1" s="2" t="s">
        <v>65</v>
      </c>
    </row>
    <row r="2" ht="12.75">
      <c r="A2" s="9" t="s">
        <v>76</v>
      </c>
    </row>
    <row r="3" ht="12.75">
      <c r="A3" s="9" t="s">
        <v>77</v>
      </c>
    </row>
    <row r="4" ht="12.75">
      <c r="A4" s="9"/>
    </row>
    <row r="5" spans="1:6" s="3" customFormat="1" ht="16.5">
      <c r="A5" s="107" t="s">
        <v>81</v>
      </c>
      <c r="B5" s="107"/>
      <c r="C5" s="107"/>
      <c r="D5" s="107"/>
      <c r="E5" s="107"/>
      <c r="F5" s="107"/>
    </row>
    <row r="6" spans="1:6" s="4" customFormat="1" ht="12.75" hidden="1">
      <c r="A6" s="108" t="s">
        <v>55</v>
      </c>
      <c r="B6" s="108"/>
      <c r="C6" s="108"/>
      <c r="D6" s="108"/>
      <c r="E6" s="108"/>
      <c r="F6" s="108"/>
    </row>
    <row r="7" ht="12.75">
      <c r="F7" s="84" t="s">
        <v>27</v>
      </c>
    </row>
    <row r="8" spans="1:6" ht="12.75">
      <c r="A8" s="75" t="s">
        <v>0</v>
      </c>
      <c r="B8" s="75" t="s">
        <v>34</v>
      </c>
      <c r="C8" s="76" t="s">
        <v>18</v>
      </c>
      <c r="D8" s="76" t="s">
        <v>30</v>
      </c>
      <c r="E8" s="77" t="s">
        <v>58</v>
      </c>
      <c r="F8" s="77"/>
    </row>
    <row r="9" spans="1:6" ht="12.75">
      <c r="A9" s="78"/>
      <c r="B9" s="79"/>
      <c r="C9" s="80" t="s">
        <v>31</v>
      </c>
      <c r="D9" s="80" t="s">
        <v>83</v>
      </c>
      <c r="E9" s="80" t="s">
        <v>18</v>
      </c>
      <c r="F9" s="80" t="s">
        <v>32</v>
      </c>
    </row>
    <row r="10" spans="1:6" ht="12.75">
      <c r="A10" s="81"/>
      <c r="B10" s="82"/>
      <c r="C10" s="83"/>
      <c r="D10" s="83"/>
      <c r="E10" s="83" t="s">
        <v>31</v>
      </c>
      <c r="F10" s="83" t="s">
        <v>33</v>
      </c>
    </row>
    <row r="11" spans="1:6" ht="12.75">
      <c r="A11" s="16" t="s">
        <v>7</v>
      </c>
      <c r="B11" s="26" t="s">
        <v>8</v>
      </c>
      <c r="C11" s="38" t="s">
        <v>24</v>
      </c>
      <c r="D11" s="38" t="s">
        <v>25</v>
      </c>
      <c r="E11" s="38" t="s">
        <v>35</v>
      </c>
      <c r="F11" s="38" t="s">
        <v>26</v>
      </c>
    </row>
    <row r="12" spans="1:6" ht="12.75">
      <c r="A12" s="45" t="s">
        <v>7</v>
      </c>
      <c r="B12" s="46" t="s">
        <v>74</v>
      </c>
      <c r="C12" s="47">
        <f>SUM(C13,C30)</f>
        <v>1511000</v>
      </c>
      <c r="D12" s="47">
        <f>SUM(D13,D30)</f>
        <v>867689</v>
      </c>
      <c r="E12" s="48">
        <f>D12/C12*100</f>
        <v>57.42481800132363</v>
      </c>
      <c r="F12" s="40">
        <f>D12/715618*100</f>
        <v>121.25030393310396</v>
      </c>
    </row>
    <row r="13" spans="1:7" ht="12.75">
      <c r="A13" s="10" t="s">
        <v>1</v>
      </c>
      <c r="B13" s="31" t="s">
        <v>9</v>
      </c>
      <c r="C13" s="56">
        <f>SUM(C14:C21,C27:C29)</f>
        <v>1511000</v>
      </c>
      <c r="D13" s="56">
        <f>SUM(D14:D21,D27:D29)</f>
        <v>867689</v>
      </c>
      <c r="E13" s="39">
        <f>D13/C13*100</f>
        <v>57.42481800132363</v>
      </c>
      <c r="F13" s="40">
        <f>D13/(715618)*100</f>
        <v>121.25030393310396</v>
      </c>
      <c r="G13" s="8"/>
    </row>
    <row r="14" spans="1:8" ht="12.75">
      <c r="A14" s="11">
        <v>1</v>
      </c>
      <c r="B14" s="49" t="s">
        <v>37</v>
      </c>
      <c r="C14" s="54">
        <v>2600</v>
      </c>
      <c r="D14" s="54">
        <f>5794</f>
        <v>5794</v>
      </c>
      <c r="E14" s="42">
        <f aca="true" t="shared" si="0" ref="E14:E21">D14/C14*100</f>
        <v>222.84615384615384</v>
      </c>
      <c r="F14" s="44"/>
      <c r="G14" s="8">
        <f>1076-D14-D15</f>
        <v>-5488</v>
      </c>
      <c r="H14" s="54">
        <v>6932</v>
      </c>
    </row>
    <row r="15" spans="1:7" ht="12.75">
      <c r="A15" s="11">
        <v>2</v>
      </c>
      <c r="B15" s="49" t="s">
        <v>38</v>
      </c>
      <c r="C15" s="54">
        <v>2600</v>
      </c>
      <c r="D15" s="54">
        <f>770</f>
        <v>770</v>
      </c>
      <c r="E15" s="42">
        <f t="shared" si="0"/>
        <v>29.615384615384617</v>
      </c>
      <c r="F15" s="44"/>
      <c r="G15" s="8">
        <f>7292</f>
        <v>7292</v>
      </c>
    </row>
    <row r="16" spans="1:7" ht="12.75">
      <c r="A16" s="11">
        <v>3</v>
      </c>
      <c r="B16" s="49" t="s">
        <v>39</v>
      </c>
      <c r="C16" s="54">
        <v>764800</v>
      </c>
      <c r="D16" s="54">
        <v>355108</v>
      </c>
      <c r="E16" s="42">
        <f t="shared" si="0"/>
        <v>46.43148535564853</v>
      </c>
      <c r="F16" s="44">
        <f>D16/(322843)*100</f>
        <v>109.99402186201961</v>
      </c>
      <c r="G16" s="8">
        <f>G15-D14-D15</f>
        <v>728</v>
      </c>
    </row>
    <row r="17" spans="1:7" ht="12.75">
      <c r="A17" s="11">
        <v>4</v>
      </c>
      <c r="B17" s="49" t="s">
        <v>20</v>
      </c>
      <c r="C17" s="54">
        <v>245000</v>
      </c>
      <c r="D17" s="54">
        <v>107349</v>
      </c>
      <c r="E17" s="42">
        <f t="shared" si="0"/>
        <v>43.81591836734694</v>
      </c>
      <c r="F17" s="44">
        <f>D17/113275*100</f>
        <v>94.76848377841536</v>
      </c>
      <c r="G17" s="8"/>
    </row>
    <row r="18" spans="1:7" ht="12.75">
      <c r="A18" s="11">
        <v>5</v>
      </c>
      <c r="B18" s="49" t="s">
        <v>22</v>
      </c>
      <c r="C18" s="54">
        <v>2000</v>
      </c>
      <c r="D18" s="54">
        <v>315</v>
      </c>
      <c r="E18" s="42">
        <f>D18/C18*100</f>
        <v>15.75</v>
      </c>
      <c r="F18" s="44">
        <f>D18/1604*100</f>
        <v>19.638403990024937</v>
      </c>
      <c r="G18" s="8"/>
    </row>
    <row r="19" spans="1:7" ht="12.75">
      <c r="A19" s="11">
        <v>6</v>
      </c>
      <c r="B19" s="49" t="s">
        <v>60</v>
      </c>
      <c r="C19" s="54">
        <v>210000</v>
      </c>
      <c r="D19" s="54">
        <v>111159</v>
      </c>
      <c r="E19" s="42">
        <f t="shared" si="0"/>
        <v>52.932857142857145</v>
      </c>
      <c r="F19" s="44">
        <f>D19/98309*100</f>
        <v>113.07103113651853</v>
      </c>
      <c r="G19" s="8"/>
    </row>
    <row r="20" spans="1:7" ht="12.75">
      <c r="A20" s="11">
        <v>7</v>
      </c>
      <c r="B20" s="49" t="s">
        <v>61</v>
      </c>
      <c r="C20" s="54">
        <f>47600+17400</f>
        <v>65000</v>
      </c>
      <c r="D20" s="54">
        <f>24413+16207</f>
        <v>40620</v>
      </c>
      <c r="E20" s="42">
        <f t="shared" si="0"/>
        <v>62.49230769230769</v>
      </c>
      <c r="F20" s="44">
        <f>D20/(21396+15084)*100</f>
        <v>111.3486842105263</v>
      </c>
      <c r="G20" s="8"/>
    </row>
    <row r="21" spans="1:7" ht="12.75">
      <c r="A21" s="11">
        <v>8</v>
      </c>
      <c r="B21" s="49" t="s">
        <v>11</v>
      </c>
      <c r="C21" s="54">
        <f>SUM(C22:C26)</f>
        <v>169000</v>
      </c>
      <c r="D21" s="54">
        <f>SUM(D22:D26)</f>
        <v>220633</v>
      </c>
      <c r="E21" s="42">
        <f t="shared" si="0"/>
        <v>130.55207100591716</v>
      </c>
      <c r="F21" s="44">
        <f>D21/(6660+45245+67780)*100</f>
        <v>184.34473827129548</v>
      </c>
      <c r="G21" s="8"/>
    </row>
    <row r="22" spans="1:7" ht="12.75">
      <c r="A22" s="11"/>
      <c r="B22" s="50" t="s">
        <v>10</v>
      </c>
      <c r="C22" s="55"/>
      <c r="D22" s="55"/>
      <c r="E22" s="59"/>
      <c r="F22" s="44"/>
      <c r="G22" s="8"/>
    </row>
    <row r="23" spans="1:7" ht="12.75">
      <c r="A23" s="11"/>
      <c r="B23" s="50" t="s">
        <v>21</v>
      </c>
      <c r="C23" s="55">
        <f>9000</f>
        <v>9000</v>
      </c>
      <c r="D23" s="55">
        <f>6127</f>
        <v>6127</v>
      </c>
      <c r="E23" s="59">
        <f>D23/C23*100</f>
        <v>68.07777777777778</v>
      </c>
      <c r="F23" s="68">
        <f>D23/6660*100</f>
        <v>91.996996996997</v>
      </c>
      <c r="G23" s="8"/>
    </row>
    <row r="24" spans="1:7" ht="12.75">
      <c r="A24" s="11"/>
      <c r="B24" s="51" t="s">
        <v>40</v>
      </c>
      <c r="C24" s="55">
        <v>130000</v>
      </c>
      <c r="D24" s="55">
        <f>84465</f>
        <v>84465</v>
      </c>
      <c r="E24" s="59">
        <f>D24/C24*100</f>
        <v>64.97307692307692</v>
      </c>
      <c r="F24" s="68">
        <f>D24/67780*100</f>
        <v>124.61640601947477</v>
      </c>
      <c r="G24" s="8"/>
    </row>
    <row r="25" spans="1:7" ht="12.75">
      <c r="A25" s="11"/>
      <c r="B25" s="51" t="s">
        <v>62</v>
      </c>
      <c r="C25" s="55">
        <f>30000</f>
        <v>30000</v>
      </c>
      <c r="D25" s="55">
        <f>130041</f>
        <v>130041</v>
      </c>
      <c r="E25" s="59">
        <f>D25/C25*100</f>
        <v>433.46999999999997</v>
      </c>
      <c r="F25" s="68">
        <f>D25/45245*100</f>
        <v>287.41518399823184</v>
      </c>
      <c r="G25" s="8"/>
    </row>
    <row r="26" spans="1:7" ht="12.75">
      <c r="A26" s="11"/>
      <c r="B26" s="51" t="s">
        <v>63</v>
      </c>
      <c r="C26" s="55"/>
      <c r="D26" s="55"/>
      <c r="E26" s="42"/>
      <c r="F26" s="44"/>
      <c r="G26" s="8"/>
    </row>
    <row r="27" spans="1:7" ht="12.75">
      <c r="A27" s="11">
        <v>9</v>
      </c>
      <c r="B27" s="49" t="s">
        <v>19</v>
      </c>
      <c r="C27" s="54"/>
      <c r="D27" s="54"/>
      <c r="E27" s="42"/>
      <c r="F27" s="44"/>
      <c r="G27" s="8"/>
    </row>
    <row r="28" spans="1:7" ht="12.75">
      <c r="A28" s="21">
        <v>10</v>
      </c>
      <c r="B28" s="49" t="s">
        <v>12</v>
      </c>
      <c r="C28" s="54">
        <v>50000</v>
      </c>
      <c r="D28" s="54">
        <f>25941</f>
        <v>25941</v>
      </c>
      <c r="E28" s="42">
        <f>D28/C28*100</f>
        <v>51.882</v>
      </c>
      <c r="F28" s="44">
        <f>D28/23422*100</f>
        <v>110.75484587140296</v>
      </c>
      <c r="G28" s="8"/>
    </row>
    <row r="29" spans="1:7" ht="12.75">
      <c r="A29" s="11">
        <v>11</v>
      </c>
      <c r="B29" s="49" t="s">
        <v>41</v>
      </c>
      <c r="C29" s="54"/>
      <c r="D29" s="54"/>
      <c r="E29" s="42"/>
      <c r="F29" s="44">
        <f>D29/13093*100</f>
        <v>0</v>
      </c>
      <c r="G29" s="8"/>
    </row>
    <row r="30" spans="1:7" ht="12.75">
      <c r="A30" s="10" t="s">
        <v>2</v>
      </c>
      <c r="B30" s="31" t="s">
        <v>42</v>
      </c>
      <c r="C30" s="56"/>
      <c r="D30" s="56"/>
      <c r="E30" s="39"/>
      <c r="F30" s="40"/>
      <c r="G30" s="8"/>
    </row>
    <row r="31" spans="1:7" ht="12.75">
      <c r="A31" s="10" t="s">
        <v>8</v>
      </c>
      <c r="B31" s="31" t="s">
        <v>43</v>
      </c>
      <c r="C31" s="27">
        <f>SUM(C32:C33)</f>
        <v>203048</v>
      </c>
      <c r="D31" s="27">
        <f>SUM(D32:D33)</f>
        <v>110436</v>
      </c>
      <c r="E31" s="39">
        <f>D31/C31*100</f>
        <v>54.38910996414641</v>
      </c>
      <c r="F31" s="39">
        <f>D31/(107707)*100</f>
        <v>102.53372575598614</v>
      </c>
      <c r="G31" s="8"/>
    </row>
    <row r="32" spans="1:7" ht="12.75">
      <c r="A32" s="11">
        <v>1</v>
      </c>
      <c r="B32" s="49" t="s">
        <v>44</v>
      </c>
      <c r="C32" s="12">
        <f>97110+40014</f>
        <v>137124</v>
      </c>
      <c r="D32" s="12">
        <f>46024+17722</f>
        <v>63746</v>
      </c>
      <c r="E32" s="42">
        <f>D32/C32*100</f>
        <v>46.487850412765084</v>
      </c>
      <c r="F32" s="42">
        <f>D32/(38735+19119)*100</f>
        <v>110.18425692259825</v>
      </c>
      <c r="G32" s="5"/>
    </row>
    <row r="33" spans="1:7" ht="12.75">
      <c r="A33" s="14">
        <v>2</v>
      </c>
      <c r="B33" s="52" t="s">
        <v>45</v>
      </c>
      <c r="C33" s="6">
        <f>700+25200+9000+5603+17400+8021</f>
        <v>65924</v>
      </c>
      <c r="D33" s="6">
        <f>371+13655+6127+2638+16207+7692</f>
        <v>46690</v>
      </c>
      <c r="E33" s="53">
        <f>D33/C33*100</f>
        <v>70.82397912748013</v>
      </c>
      <c r="F33" s="53">
        <f>D33/(263+16284+6660+3012+15084+8551)*100</f>
        <v>93.65346812693063</v>
      </c>
      <c r="G33" s="5"/>
    </row>
    <row r="34" spans="1:6" s="58" customFormat="1" ht="12" customHeight="1" hidden="1">
      <c r="A34" s="57"/>
      <c r="B34" s="57"/>
      <c r="C34" s="57"/>
      <c r="D34" s="57"/>
      <c r="E34" s="57"/>
      <c r="F34" s="57"/>
    </row>
    <row r="35" spans="2:6" ht="12.75">
      <c r="B35" s="7"/>
      <c r="C35" s="7"/>
      <c r="D35" s="7"/>
      <c r="E35" s="7"/>
      <c r="F35" s="7"/>
    </row>
  </sheetData>
  <sheetProtection/>
  <mergeCells count="2">
    <mergeCell ref="A5:F5"/>
    <mergeCell ref="A6:F6"/>
  </mergeCells>
  <printOptions/>
  <pageMargins left="1" right="0.4" top="1" bottom="1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showGridLines="0" showZeros="0" tabSelected="1" zoomScale="120" zoomScaleNormal="120" zoomScalePageLayoutView="0" workbookViewId="0" topLeftCell="A10">
      <selection activeCell="M25" sqref="M25"/>
    </sheetView>
  </sheetViews>
  <sheetFormatPr defaultColWidth="9.140625" defaultRowHeight="12.75"/>
  <cols>
    <col min="1" max="1" width="5.421875" style="1" customWidth="1"/>
    <col min="2" max="2" width="44.28125" style="1" customWidth="1"/>
    <col min="3" max="6" width="9.421875" style="1" customWidth="1"/>
    <col min="7" max="7" width="10.140625" style="1" hidden="1" customWidth="1"/>
    <col min="8" max="8" width="9.421875" style="1" hidden="1" customWidth="1"/>
    <col min="9" max="9" width="9.28125" style="1" bestFit="1" customWidth="1"/>
    <col min="10" max="16384" width="9.140625" style="1" customWidth="1"/>
  </cols>
  <sheetData>
    <row r="1" spans="1:6" ht="12.75">
      <c r="A1" s="1" t="s">
        <v>75</v>
      </c>
      <c r="F1" s="2" t="s">
        <v>64</v>
      </c>
    </row>
    <row r="2" ht="12.75">
      <c r="A2" s="9" t="s">
        <v>76</v>
      </c>
    </row>
    <row r="3" ht="12.75">
      <c r="A3" s="9" t="s">
        <v>77</v>
      </c>
    </row>
    <row r="5" spans="1:6" s="3" customFormat="1" ht="16.5">
      <c r="A5" s="107" t="s">
        <v>82</v>
      </c>
      <c r="B5" s="107"/>
      <c r="C5" s="107"/>
      <c r="D5" s="107"/>
      <c r="E5" s="107"/>
      <c r="F5" s="107"/>
    </row>
    <row r="6" spans="1:6" s="4" customFormat="1" ht="12.75" hidden="1">
      <c r="A6" s="108" t="s">
        <v>55</v>
      </c>
      <c r="B6" s="108"/>
      <c r="C6" s="108"/>
      <c r="D6" s="108"/>
      <c r="E6" s="108"/>
      <c r="F6" s="108"/>
    </row>
    <row r="7" ht="12.75">
      <c r="F7" s="84" t="s">
        <v>27</v>
      </c>
    </row>
    <row r="8" spans="1:6" ht="12.75">
      <c r="A8" s="20" t="s">
        <v>0</v>
      </c>
      <c r="B8" s="20" t="s">
        <v>34</v>
      </c>
      <c r="C8" s="35" t="s">
        <v>18</v>
      </c>
      <c r="D8" s="35" t="s">
        <v>30</v>
      </c>
      <c r="E8" s="17" t="s">
        <v>36</v>
      </c>
      <c r="F8" s="17"/>
    </row>
    <row r="9" spans="1:6" ht="12.75">
      <c r="A9" s="21"/>
      <c r="B9" s="22"/>
      <c r="C9" s="34" t="s">
        <v>31</v>
      </c>
      <c r="D9" s="34" t="s">
        <v>83</v>
      </c>
      <c r="E9" s="34" t="s">
        <v>18</v>
      </c>
      <c r="F9" s="34" t="s">
        <v>32</v>
      </c>
    </row>
    <row r="10" spans="1:6" ht="12.75">
      <c r="A10" s="23"/>
      <c r="B10" s="24"/>
      <c r="C10" s="37"/>
      <c r="D10" s="37"/>
      <c r="E10" s="37" t="s">
        <v>31</v>
      </c>
      <c r="F10" s="37" t="s">
        <v>33</v>
      </c>
    </row>
    <row r="11" spans="1:6" ht="12.75">
      <c r="A11" s="16" t="s">
        <v>7</v>
      </c>
      <c r="B11" s="26" t="s">
        <v>8</v>
      </c>
      <c r="C11" s="38" t="s">
        <v>24</v>
      </c>
      <c r="D11" s="38" t="s">
        <v>25</v>
      </c>
      <c r="E11" s="38" t="s">
        <v>35</v>
      </c>
      <c r="F11" s="38" t="s">
        <v>26</v>
      </c>
    </row>
    <row r="12" spans="1:9" ht="12.75">
      <c r="A12" s="45"/>
      <c r="B12" s="46" t="s">
        <v>13</v>
      </c>
      <c r="C12" s="47">
        <f>SUM(C13,C30)</f>
        <v>1285481</v>
      </c>
      <c r="D12" s="47">
        <f>SUM(D13,D30)</f>
        <v>483463</v>
      </c>
      <c r="E12" s="48">
        <f>D12/C12*100</f>
        <v>37.60950181294006</v>
      </c>
      <c r="F12" s="48">
        <f>D12/375863*100</f>
        <v>128.62745202374268</v>
      </c>
      <c r="I12" s="8"/>
    </row>
    <row r="13" spans="1:6" ht="12.75">
      <c r="A13" s="15" t="s">
        <v>7</v>
      </c>
      <c r="B13" s="60" t="s">
        <v>46</v>
      </c>
      <c r="C13" s="25">
        <f>SUM(C14,C17,C29)</f>
        <v>1285481</v>
      </c>
      <c r="D13" s="25">
        <f>SUM(D14,D17,D29)</f>
        <v>483463</v>
      </c>
      <c r="E13" s="39">
        <f aca="true" t="shared" si="0" ref="E13:E29">D13/C13*100</f>
        <v>37.60950181294006</v>
      </c>
      <c r="F13" s="39">
        <f>D13/(375863)*100</f>
        <v>128.62745202374268</v>
      </c>
    </row>
    <row r="14" spans="1:10" ht="12.75">
      <c r="A14" s="10" t="s">
        <v>1</v>
      </c>
      <c r="B14" s="31" t="s">
        <v>4</v>
      </c>
      <c r="C14" s="56">
        <f>SUM(C15:C16)</f>
        <v>105803</v>
      </c>
      <c r="D14" s="56">
        <f>SUM(D15:D16)</f>
        <v>34943</v>
      </c>
      <c r="E14" s="39">
        <f t="shared" si="0"/>
        <v>33.026473729478376</v>
      </c>
      <c r="F14" s="40">
        <f>D14/27344*100</f>
        <v>127.79037448800467</v>
      </c>
      <c r="G14" s="70"/>
      <c r="I14" s="105"/>
      <c r="J14" s="1">
        <f>100-18.73</f>
        <v>81.27</v>
      </c>
    </row>
    <row r="15" spans="1:7" ht="12.75">
      <c r="A15" s="11">
        <v>1</v>
      </c>
      <c r="B15" s="49" t="s">
        <v>47</v>
      </c>
      <c r="C15" s="99">
        <f>'BS93'!C19</f>
        <v>105803</v>
      </c>
      <c r="D15" s="99">
        <f>30049+2394-52</f>
        <v>32391</v>
      </c>
      <c r="E15" s="42">
        <f>D15/C15*100</f>
        <v>30.614443824844283</v>
      </c>
      <c r="F15" s="44">
        <f>D15/27344*100</f>
        <v>118.45743124634289</v>
      </c>
      <c r="G15" s="8"/>
    </row>
    <row r="16" spans="1:7" s="66" customFormat="1" ht="12.75">
      <c r="A16" s="61">
        <v>2</v>
      </c>
      <c r="B16" s="62" t="s">
        <v>48</v>
      </c>
      <c r="C16" s="63"/>
      <c r="D16" s="63">
        <f>2500+52</f>
        <v>2552</v>
      </c>
      <c r="E16" s="42"/>
      <c r="F16" s="64"/>
      <c r="G16" s="65"/>
    </row>
    <row r="17" spans="1:8" ht="12.75">
      <c r="A17" s="10" t="s">
        <v>2</v>
      </c>
      <c r="B17" s="31" t="s">
        <v>5</v>
      </c>
      <c r="C17" s="56">
        <f>SUM(C19:C28)+57326+9626</f>
        <v>1156048</v>
      </c>
      <c r="D17" s="56">
        <f>SUM(D19:D28)+23761+1961+27398</f>
        <v>448520</v>
      </c>
      <c r="E17" s="39">
        <f t="shared" si="0"/>
        <v>38.79769698144022</v>
      </c>
      <c r="F17" s="40">
        <f>D17/(348519)*100</f>
        <v>128.6931272039688</v>
      </c>
      <c r="G17" s="8">
        <f>811300-23630</f>
        <v>787670</v>
      </c>
      <c r="H17" s="101">
        <f>811300-23630-1777</f>
        <v>785893</v>
      </c>
    </row>
    <row r="18" spans="1:8" s="66" customFormat="1" ht="12.75">
      <c r="A18" s="61"/>
      <c r="B18" s="89" t="s">
        <v>49</v>
      </c>
      <c r="C18" s="63"/>
      <c r="D18" s="63"/>
      <c r="E18" s="42"/>
      <c r="F18" s="64"/>
      <c r="G18" s="65">
        <f>811300-23630</f>
        <v>787670</v>
      </c>
      <c r="H18" s="102">
        <f>C17-H17</f>
        <v>370155</v>
      </c>
    </row>
    <row r="19" spans="1:7" ht="12.75">
      <c r="A19" s="90">
        <v>1</v>
      </c>
      <c r="B19" s="91" t="s">
        <v>15</v>
      </c>
      <c r="C19" s="54">
        <v>512864</v>
      </c>
      <c r="D19" s="86">
        <v>171417</v>
      </c>
      <c r="E19" s="87">
        <f t="shared" si="0"/>
        <v>33.423480688837586</v>
      </c>
      <c r="F19" s="88">
        <f>D19/126625*100</f>
        <v>135.37374136229025</v>
      </c>
      <c r="G19" s="8">
        <f>G17-C17</f>
        <v>-368378</v>
      </c>
    </row>
    <row r="20" spans="1:7" ht="12.75">
      <c r="A20" s="90">
        <v>2</v>
      </c>
      <c r="B20" s="92" t="s">
        <v>16</v>
      </c>
      <c r="C20" s="54"/>
      <c r="D20" s="86"/>
      <c r="E20" s="87"/>
      <c r="F20" s="88"/>
      <c r="G20" s="8">
        <f>G19-144203</f>
        <v>-512581</v>
      </c>
    </row>
    <row r="21" spans="1:7" ht="12.75">
      <c r="A21" s="90">
        <v>3</v>
      </c>
      <c r="B21" s="91" t="s">
        <v>50</v>
      </c>
      <c r="C21" s="99">
        <f>108489</f>
        <v>108489</v>
      </c>
      <c r="D21" s="86">
        <v>33777</v>
      </c>
      <c r="E21" s="87">
        <f t="shared" si="0"/>
        <v>31.13403202167962</v>
      </c>
      <c r="F21" s="88">
        <f>D21/(25014)*100</f>
        <v>135.03238186615496</v>
      </c>
      <c r="G21" s="8"/>
    </row>
    <row r="22" spans="1:7" ht="12.75">
      <c r="A22" s="90">
        <v>4</v>
      </c>
      <c r="B22" s="92" t="s">
        <v>51</v>
      </c>
      <c r="C22" s="54">
        <v>5289</v>
      </c>
      <c r="D22" s="86">
        <v>2302</v>
      </c>
      <c r="E22" s="87">
        <f t="shared" si="0"/>
        <v>43.52429570807336</v>
      </c>
      <c r="F22" s="88">
        <f>D22/2181*100</f>
        <v>105.54791380100872</v>
      </c>
      <c r="G22" s="8"/>
    </row>
    <row r="23" spans="1:7" ht="12.75">
      <c r="A23" s="90">
        <v>5</v>
      </c>
      <c r="B23" s="91" t="s">
        <v>52</v>
      </c>
      <c r="C23" s="54"/>
      <c r="D23" s="86"/>
      <c r="E23" s="87"/>
      <c r="F23" s="88"/>
      <c r="G23" s="8"/>
    </row>
    <row r="24" spans="1:7" ht="12.75">
      <c r="A24" s="90">
        <v>6</v>
      </c>
      <c r="B24" s="91" t="s">
        <v>53</v>
      </c>
      <c r="C24" s="54">
        <v>2408</v>
      </c>
      <c r="D24" s="86">
        <v>780</v>
      </c>
      <c r="E24" s="87">
        <f t="shared" si="0"/>
        <v>32.39202657807309</v>
      </c>
      <c r="F24" s="88">
        <f>D24/393*100</f>
        <v>198.4732824427481</v>
      </c>
      <c r="G24" s="8"/>
    </row>
    <row r="25" spans="1:7" ht="12.75">
      <c r="A25" s="90">
        <v>7</v>
      </c>
      <c r="B25" s="91" t="s">
        <v>23</v>
      </c>
      <c r="C25" s="54">
        <v>80604</v>
      </c>
      <c r="D25" s="86">
        <v>31728</v>
      </c>
      <c r="E25" s="87">
        <f t="shared" si="0"/>
        <v>39.36281077862141</v>
      </c>
      <c r="F25" s="88">
        <f>D25/15969*100</f>
        <v>198.68495209468344</v>
      </c>
      <c r="G25" s="8"/>
    </row>
    <row r="26" spans="1:7" ht="12.75">
      <c r="A26" s="90">
        <v>8</v>
      </c>
      <c r="B26" s="91" t="s">
        <v>17</v>
      </c>
      <c r="C26" s="54">
        <f>50529+6613+2904+421</f>
        <v>60467</v>
      </c>
      <c r="D26" s="86">
        <f>8798+165</f>
        <v>8963</v>
      </c>
      <c r="E26" s="87">
        <f t="shared" si="0"/>
        <v>14.822961284667672</v>
      </c>
      <c r="F26" s="88">
        <f>D26/(17342+1062+199+432)*100</f>
        <v>47.086945101129494</v>
      </c>
      <c r="G26" s="8"/>
    </row>
    <row r="27" spans="1:9" ht="25.5">
      <c r="A27" s="90">
        <v>9</v>
      </c>
      <c r="B27" s="85" t="s">
        <v>66</v>
      </c>
      <c r="C27" s="86">
        <v>219341</v>
      </c>
      <c r="D27" s="86">
        <v>86626</v>
      </c>
      <c r="E27" s="87">
        <f t="shared" si="0"/>
        <v>39.493756297272284</v>
      </c>
      <c r="F27" s="88">
        <f>D27/73108*100</f>
        <v>118.4904524812606</v>
      </c>
      <c r="G27" s="8"/>
      <c r="I27" s="8"/>
    </row>
    <row r="28" spans="1:7" ht="12.75">
      <c r="A28" s="90">
        <v>10</v>
      </c>
      <c r="B28" s="91" t="s">
        <v>54</v>
      </c>
      <c r="C28" s="86">
        <f>99634</f>
        <v>99634</v>
      </c>
      <c r="D28" s="86">
        <v>59807</v>
      </c>
      <c r="E28" s="87">
        <f t="shared" si="0"/>
        <v>60.02669771363189</v>
      </c>
      <c r="F28" s="88">
        <f>D28/60968*100</f>
        <v>98.09572234614879</v>
      </c>
      <c r="G28" s="8"/>
    </row>
    <row r="29" spans="1:7" ht="12.75">
      <c r="A29" s="10" t="s">
        <v>3</v>
      </c>
      <c r="B29" s="31" t="s">
        <v>67</v>
      </c>
      <c r="C29" s="56">
        <v>23630</v>
      </c>
      <c r="D29" s="56"/>
      <c r="E29" s="39">
        <f t="shared" si="0"/>
        <v>0</v>
      </c>
      <c r="F29" s="40"/>
      <c r="G29" s="8"/>
    </row>
    <row r="30" spans="1:6" ht="25.5">
      <c r="A30" s="94" t="s">
        <v>8</v>
      </c>
      <c r="B30" s="93" t="s">
        <v>68</v>
      </c>
      <c r="C30" s="95">
        <f>SUM(C31:C32)</f>
        <v>0</v>
      </c>
      <c r="D30" s="95">
        <f>SUM(D31:D32)</f>
        <v>0</v>
      </c>
      <c r="E30" s="96"/>
      <c r="F30" s="96">
        <f>D30/496*100</f>
        <v>0</v>
      </c>
    </row>
    <row r="31" spans="1:7" ht="12.75">
      <c r="A31" s="90">
        <v>1</v>
      </c>
      <c r="B31" s="91" t="s">
        <v>69</v>
      </c>
      <c r="C31" s="12"/>
      <c r="D31" s="86"/>
      <c r="E31" s="87"/>
      <c r="F31" s="87"/>
      <c r="G31" s="8"/>
    </row>
    <row r="32" spans="1:7" ht="12.75">
      <c r="A32" s="90">
        <v>2</v>
      </c>
      <c r="B32" s="91" t="s">
        <v>70</v>
      </c>
      <c r="C32" s="97">
        <f>SUM(C33)</f>
        <v>0</v>
      </c>
      <c r="D32" s="97">
        <f>SUM(D33)</f>
        <v>0</v>
      </c>
      <c r="E32" s="96"/>
      <c r="F32" s="96">
        <f>D32/385*100</f>
        <v>0</v>
      </c>
      <c r="G32" s="8"/>
    </row>
    <row r="33" spans="1:7" ht="12.75">
      <c r="A33" s="90">
        <v>3</v>
      </c>
      <c r="B33" s="91" t="s">
        <v>71</v>
      </c>
      <c r="C33" s="98"/>
      <c r="D33" s="98"/>
      <c r="E33" s="87"/>
      <c r="F33" s="87">
        <f>D33/385*100</f>
        <v>0</v>
      </c>
      <c r="G33" s="8"/>
    </row>
    <row r="34" spans="1:7" ht="12.75">
      <c r="A34" s="19"/>
      <c r="B34" s="33"/>
      <c r="C34" s="29"/>
      <c r="D34" s="29"/>
      <c r="E34" s="43"/>
      <c r="F34" s="53">
        <f>D34/385*100</f>
        <v>0</v>
      </c>
      <c r="G34" s="5"/>
    </row>
    <row r="35" spans="1:6" s="58" customFormat="1" ht="12" customHeight="1">
      <c r="A35" s="57"/>
      <c r="B35" s="57"/>
      <c r="C35" s="57"/>
      <c r="D35" s="57"/>
      <c r="E35" s="57"/>
      <c r="F35" s="57"/>
    </row>
    <row r="36" spans="2:6" ht="12.75">
      <c r="B36" s="7"/>
      <c r="C36" s="7"/>
      <c r="D36" s="7"/>
      <c r="E36" s="7"/>
      <c r="F36" s="7"/>
    </row>
  </sheetData>
  <sheetProtection/>
  <mergeCells count="2">
    <mergeCell ref="A5:F5"/>
    <mergeCell ref="A6:F6"/>
  </mergeCells>
  <printOptions/>
  <pageMargins left="1" right="0.5" top="1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2019-07-10T08:41:16Z</cp:lastPrinted>
  <dcterms:created xsi:type="dcterms:W3CDTF">2001-08-16T01:23:45Z</dcterms:created>
  <dcterms:modified xsi:type="dcterms:W3CDTF">2019-07-10T09:28:55Z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g">
    <vt:lpwstr>2019-07-15T00:00:00Z</vt:lpwstr>
  </property>
  <property fmtid="{D5CDD505-2E9C-101B-9397-08002B2CF9AE}" pid="4" name="ContentTy">
    <vt:lpwstr>Hình ảnh</vt:lpwstr>
  </property>
  <property fmtid="{D5CDD505-2E9C-101B-9397-08002B2CF9AE}" pid="5" name="Ngày g">
    <vt:lpwstr>2019-07-15T08:31:00Z</vt:lpwstr>
  </property>
</Properties>
</file>