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665" activeTab="6"/>
  </bookViews>
  <sheets>
    <sheet name="BS69" sheetId="1" r:id="rId1"/>
    <sheet name="BS70" sheetId="2" r:id="rId2"/>
    <sheet name="BS72" sheetId="3" r:id="rId3"/>
    <sheet name="BS73" sheetId="4" r:id="rId4"/>
    <sheet name="BS74" sheetId="5" r:id="rId5"/>
    <sheet name="BS76" sheetId="6" r:id="rId6"/>
    <sheet name="BS77" sheetId="7" r:id="rId7"/>
    <sheet name="BS78" sheetId="8" r:id="rId8"/>
    <sheet name="BS79" sheetId="9" r:id="rId9"/>
    <sheet name="nhap" sheetId="10" r:id="rId10"/>
    <sheet name="B12" sheetId="11" r:id="rId11"/>
    <sheet name="B14" sheetId="12" r:id="rId12"/>
    <sheet name="BS71" sheetId="13" r:id="rId13"/>
    <sheet name="B41" sheetId="14" r:id="rId14"/>
    <sheet name="B17" sheetId="15" r:id="rId15"/>
    <sheet name="B19" sheetId="16" r:id="rId16"/>
    <sheet name="B20" sheetId="17" r:id="rId17"/>
    <sheet name="B21" sheetId="18" r:id="rId18"/>
    <sheet name="B22" sheetId="19" r:id="rId19"/>
    <sheet name="B23" sheetId="20" r:id="rId20"/>
    <sheet name="B24" sheetId="21" r:id="rId21"/>
    <sheet name="B25" sheetId="22" r:id="rId22"/>
    <sheet name="B26" sheetId="23" r:id="rId23"/>
    <sheet name="B27" sheetId="24" r:id="rId24"/>
    <sheet name="B28" sheetId="25" r:id="rId25"/>
    <sheet name="B29" sheetId="26" r:id="rId26"/>
    <sheet name="B31" sheetId="27" r:id="rId27"/>
    <sheet name="B32" sheetId="28" r:id="rId28"/>
    <sheet name="B45" sheetId="29" r:id="rId29"/>
    <sheet name="B47" sheetId="30" r:id="rId30"/>
    <sheet name="Sheet1" sheetId="31" r:id="rId31"/>
  </sheets>
  <externalReferences>
    <externalReference r:id="rId34"/>
    <externalReference r:id="rId35"/>
    <externalReference r:id="rId36"/>
    <externalReference r:id="rId37"/>
    <externalReference r:id="rId38"/>
    <externalReference r:id="rId39"/>
  </externalReferences>
  <definedNames>
    <definedName name="chuong_phuluc_19" localSheetId="15">'B19'!$A$1</definedName>
    <definedName name="chuong_phuluc_19" localSheetId="1">'BS70'!$A$1</definedName>
    <definedName name="chuong_phuluc_19_name" localSheetId="15">'B19'!$A$2</definedName>
    <definedName name="chuong_phuluc_19_name" localSheetId="1">'BS70'!$A$2</definedName>
    <definedName name="chuong_phuluc_20" localSheetId="16">'B20'!$A$1</definedName>
    <definedName name="chuong_phuluc_20" localSheetId="26">'B31'!$A$1</definedName>
    <definedName name="chuong_phuluc_20_name" localSheetId="16">'B20'!$A$2</definedName>
    <definedName name="chuong_phuluc_20_name" localSheetId="26">'B31'!$A$2</definedName>
    <definedName name="chuong_phuluc_21" localSheetId="17">'B21'!$A$1</definedName>
    <definedName name="chuong_phuluc_21" localSheetId="27">'B32'!$A$1</definedName>
    <definedName name="chuong_phuluc_21_name" localSheetId="17">'B21'!$A$2</definedName>
    <definedName name="chuong_phuluc_21_name" localSheetId="27">'B32'!$A$2</definedName>
    <definedName name="chuong_phuluc_22" localSheetId="18">'B22'!$J$1</definedName>
    <definedName name="chuong_phuluc_22" localSheetId="2">'BS72'!#REF!</definedName>
    <definedName name="chuong_phuluc_22_name" localSheetId="18">'B22'!$A$2</definedName>
    <definedName name="chuong_phuluc_22_name" localSheetId="2">'BS72'!$A$2</definedName>
    <definedName name="chuong_phuluc_23" localSheetId="19">'B23'!$F$1</definedName>
    <definedName name="chuong_phuluc_23" localSheetId="3">'BS73'!#REF!</definedName>
    <definedName name="chuong_phuluc_23_name" localSheetId="19">'B23'!$A$2</definedName>
    <definedName name="chuong_phuluc_23_name" localSheetId="3">'BS73'!$A$3</definedName>
    <definedName name="chuong_phuluc_24" localSheetId="20">'B24'!$K$1</definedName>
    <definedName name="chuong_phuluc_24" localSheetId="4">'BS74'!$K$1</definedName>
    <definedName name="chuong_phuluc_24_name" localSheetId="20">'B24'!$A$2</definedName>
    <definedName name="chuong_phuluc_24_name" localSheetId="4">'BS74'!$A$2</definedName>
    <definedName name="chuong_phuluc_25" localSheetId="21">'B25'!$R$1</definedName>
    <definedName name="chuong_phuluc_25_name" localSheetId="21">'B25'!$A$2</definedName>
    <definedName name="chuong_phuluc_26" localSheetId="22">'B26'!$R$1</definedName>
    <definedName name="chuong_phuluc_26" localSheetId="23">'B27'!$R$1</definedName>
    <definedName name="chuong_phuluc_26" localSheetId="5">'BS76'!$R$1</definedName>
    <definedName name="chuong_phuluc_26_name" localSheetId="22">'B26'!$A$2</definedName>
    <definedName name="chuong_phuluc_26_name" localSheetId="23">'B27'!$A$2</definedName>
    <definedName name="chuong_phuluc_26_name" localSheetId="5">'BS76'!$A$2</definedName>
    <definedName name="chuong_phuluc_28" localSheetId="24">'B28'!$L$1</definedName>
    <definedName name="chuong_phuluc_28" localSheetId="28">'B45'!$M$1</definedName>
    <definedName name="chuong_phuluc_28_name" localSheetId="24">'B28'!$A$2</definedName>
    <definedName name="chuong_phuluc_28_name" localSheetId="28">'B45'!$A$2</definedName>
    <definedName name="chuong_phuluc_29" localSheetId="25">'B29'!$E$1</definedName>
    <definedName name="chuong_phuluc_29" localSheetId="29">'B47'!$E$1</definedName>
    <definedName name="chuong_phuluc_29_name" localSheetId="25">'B29'!$A$2</definedName>
    <definedName name="chuong_phuluc_29_name" localSheetId="29">'B47'!$A$2</definedName>
    <definedName name="chuong_phuluc_38" localSheetId="8">'BS79'!$S$1</definedName>
    <definedName name="chuong_phuluc_38_name" localSheetId="8">'BS79'!$A$2</definedName>
    <definedName name="chuong_phuluc_39" localSheetId="6">'BS77'!$K$1</definedName>
    <definedName name="chuong_phuluc_39_name" localSheetId="6">'BS77'!$A$2</definedName>
    <definedName name="chuong_phuluc_41" localSheetId="13">'B41'!$U$1</definedName>
    <definedName name="chuong_phuluc_41_name" localSheetId="13">'B41'!$A$2</definedName>
    <definedName name="chuong_phuluc_42" localSheetId="7">'BS78'!$F$1</definedName>
    <definedName name="chuong_phuluc_42_name" localSheetId="7">'BS78'!$A$2</definedName>
    <definedName name="_xlnm.Print_Titles" localSheetId="20">'B24'!$5:$6</definedName>
    <definedName name="_xlnm.Print_Titles" localSheetId="22">'B26'!$4:$6</definedName>
    <definedName name="_xlnm.Print_Titles" localSheetId="25">'B29'!$5:$6</definedName>
    <definedName name="_xlnm.Print_Titles" localSheetId="29">'B47'!$5:$6</definedName>
    <definedName name="_xlnm.Print_Titles" localSheetId="12">'BS71'!$6:$8</definedName>
    <definedName name="_xlnm.Print_Titles" localSheetId="4">'BS74'!$5:$7</definedName>
    <definedName name="_xlnm.Print_Titles" localSheetId="5">'BS76'!$5:$7</definedName>
    <definedName name="_xlnm.Print_Titles" localSheetId="9">'nhap'!$6:$8</definedName>
  </definedNames>
  <calcPr fullCalcOnLoad="1"/>
</workbook>
</file>

<file path=xl/sharedStrings.xml><?xml version="1.0" encoding="utf-8"?>
<sst xmlns="http://schemas.openxmlformats.org/spreadsheetml/2006/main" count="1800" uniqueCount="517">
  <si>
    <t>STT</t>
  </si>
  <si>
    <t>A</t>
  </si>
  <si>
    <t>I</t>
  </si>
  <si>
    <t>II</t>
  </si>
  <si>
    <t>III</t>
  </si>
  <si>
    <t>CHỦ TỊCH</t>
  </si>
  <si>
    <t>B</t>
  </si>
  <si>
    <t>Chi thường xuyên</t>
  </si>
  <si>
    <t>Dự phòng ngân sách</t>
  </si>
  <si>
    <t>Nội dung</t>
  </si>
  <si>
    <t>Đơn vị: Triệu đồng</t>
  </si>
  <si>
    <t>3=2-1</t>
  </si>
  <si>
    <t>So sánh</t>
  </si>
  <si>
    <t>Tuyệt đối</t>
  </si>
  <si>
    <t>4=2/1</t>
  </si>
  <si>
    <t>TỔNG NGUỒN THU NSĐP</t>
  </si>
  <si>
    <t>Thu NSĐP được hưởng theo phân cấp</t>
  </si>
  <si>
    <t>Thu bổ sung từ ngân sách cấp trên</t>
  </si>
  <si>
    <t>Thu bổ sung cân đối ngân sách</t>
  </si>
  <si>
    <t>Thu bổ sung có mục tiêu</t>
  </si>
  <si>
    <t>Thu kết dư</t>
  </si>
  <si>
    <t>IV</t>
  </si>
  <si>
    <t>Thu chuyển nguồn từ năm trước chuyển sang</t>
  </si>
  <si>
    <t>TỔNG CHI NSĐP</t>
  </si>
  <si>
    <t>Tổng chi cân đối ngân sách địa phương</t>
  </si>
  <si>
    <t xml:space="preserve">Chi đầu tư phát triển </t>
  </si>
  <si>
    <t>Chi tạo nguồn, điều chỉnh tiền lương</t>
  </si>
  <si>
    <t>Chi các chương trình mục tiêu</t>
  </si>
  <si>
    <t>Chi các chương trình mục tiêu quốc gia</t>
  </si>
  <si>
    <t>Chi các chương trình mục tiêu, nhiệm vụ</t>
  </si>
  <si>
    <t>Chi chuyển nguồn sang năm sau</t>
  </si>
  <si>
    <t>Thu nội địa</t>
  </si>
  <si>
    <t>Thuế thu nhập cá nhân</t>
  </si>
  <si>
    <t>Thuế bảo vệ môi trường</t>
  </si>
  <si>
    <t>Lệ phí trước bạ</t>
  </si>
  <si>
    <t>Thu viện trợ</t>
  </si>
  <si>
    <t>Nguồn thu ngân sách</t>
  </si>
  <si>
    <t>Thu ngân sách được hưởng theo phân cấp</t>
  </si>
  <si>
    <t>Chi bổ sung cho ngân sách cấp dưới</t>
  </si>
  <si>
    <t>TM. ỦY BAN NHÂN DÂN</t>
  </si>
  <si>
    <t>Trần Quang Thảo</t>
  </si>
  <si>
    <t>Thu từ khu vực kinh tế ngoài quốc doanh</t>
  </si>
  <si>
    <t>Biểu mẫu số 12</t>
  </si>
  <si>
    <t>Thu NSĐP hưởng 100%</t>
  </si>
  <si>
    <t>Thu NSĐP hưởng từ các khoản phân chia</t>
  </si>
  <si>
    <t>Thu từ quỹ dự trữ tài chính</t>
  </si>
  <si>
    <t>V</t>
  </si>
  <si>
    <t>Chi trả nợ lãi các khoản vay</t>
  </si>
  <si>
    <t>Chi bổ sung quỹ dự trữ tài chính</t>
  </si>
  <si>
    <t>Quận 8, ngày     tháng 11 năm 2017</t>
  </si>
  <si>
    <t>So sánh (%)</t>
  </si>
  <si>
    <t>1</t>
  </si>
  <si>
    <t>2</t>
  </si>
  <si>
    <t>3</t>
  </si>
  <si>
    <t>4</t>
  </si>
  <si>
    <t>5=3/1</t>
  </si>
  <si>
    <t>6=4/2</t>
  </si>
  <si>
    <t>TỔNG  THU CÂN ĐỐI NSNN</t>
  </si>
  <si>
    <t xml:space="preserve"> - Thuế giá trị gia tăng hàng SXKD trong nước</t>
  </si>
  <si>
    <t xml:space="preserve"> - Thuế thu nhập doanh nghiệp</t>
  </si>
  <si>
    <t xml:space="preserve"> - Thuế tiêu thụ đặc biệt hàng SX trong nước</t>
  </si>
  <si>
    <t xml:space="preserve"> - Thuế môn bài</t>
  </si>
  <si>
    <t xml:space="preserve"> - Thu khác</t>
  </si>
  <si>
    <t>Thu từ khu vực DNNN do địa phương quản lý</t>
  </si>
  <si>
    <t>Thu từ khu vực doanh nghiệp có vốn đầu tư nước ngoài</t>
  </si>
  <si>
    <t xml:space="preserve"> - Thu tiền thuê mặt đất, mặt nước, mặt biển</t>
  </si>
  <si>
    <t xml:space="preserve"> - Thuế tài nguyên</t>
  </si>
  <si>
    <t>Thuế sử dụng đất nông nghiệp</t>
  </si>
  <si>
    <t>Thuế sử dụng đất phi nông nghiệp</t>
  </si>
  <si>
    <t>Tiền cho thuê đất, thuê mặt nước</t>
  </si>
  <si>
    <t xml:space="preserve">Thu tiền sử dụng đất </t>
  </si>
  <si>
    <t>Tiền cho thuê và tiền bán nhà ở thuộc sở hữu nhà nước</t>
  </si>
  <si>
    <t>Thu từ hoạt động sổ xố kiến thiết</t>
  </si>
  <si>
    <t>Thu tiền cấp quyền khai thác khoáng sản</t>
  </si>
  <si>
    <t>Thu khác ngân sách</t>
  </si>
  <si>
    <t>Thu từ quỹ đất công ích, hoa lợi công sản khác</t>
  </si>
  <si>
    <t>THU KẾT DƯ NĂM TRƯỚC</t>
  </si>
  <si>
    <t>C</t>
  </si>
  <si>
    <t>THU CHUYỂN NGUỒN TỪ NĂM TRƯỚC CHUYỂN SANG</t>
  </si>
  <si>
    <t>TỔNG THU NSNN</t>
  </si>
  <si>
    <t>Thu từ khu vực DNNN do trung ương quản lý</t>
  </si>
  <si>
    <t>Thu từ dầu thô</t>
  </si>
  <si>
    <t>Thu từ từ hoạt động xuất nhập khẩu</t>
  </si>
  <si>
    <t>Thu
NSĐP</t>
  </si>
  <si>
    <t xml:space="preserve"> - Phí và lệ phí trung ương</t>
  </si>
  <si>
    <t xml:space="preserve"> - Phí và lệ phí tỉnh</t>
  </si>
  <si>
    <t xml:space="preserve"> - Phí và lệ phí huyện</t>
  </si>
  <si>
    <t xml:space="preserve"> - Phí và lệ phí xã</t>
  </si>
  <si>
    <t>Thu phí, lệ phí (bao gồm lệ phí môn bài)</t>
  </si>
  <si>
    <t>Thu hồi vốn, thu cổ tức</t>
  </si>
  <si>
    <t>Lợi nhuận sau khi trích lập quỹ của DNNN</t>
  </si>
  <si>
    <t>Chênh lệch thu chi ngân hàng</t>
  </si>
  <si>
    <t>Lệ phí môn bài</t>
  </si>
  <si>
    <t>Chi đầu tư phát triển</t>
  </si>
  <si>
    <t>Chi đầu tư cho các dự án</t>
  </si>
  <si>
    <t>Biểu mẫu số 14</t>
  </si>
  <si>
    <t>CHI CÂN ĐỐI NSĐP</t>
  </si>
  <si>
    <t>Trong đó: Chia theo lĩnh vực</t>
  </si>
  <si>
    <t>Trong đó: Chia theo nguồn vốn</t>
  </si>
  <si>
    <t>Tương đối (%)</t>
  </si>
  <si>
    <t>Chi giáo dục - đào tạo và dạy nghề</t>
  </si>
  <si>
    <t>Chi khoa học và công nghệ</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</si>
  <si>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</si>
  <si>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</si>
  <si>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</si>
  <si>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</si>
  <si>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</si>
  <si>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trả nợ lãi các khoản do chính quyền địa phương vay</t>
  </si>
  <si>
    <t>VI</t>
  </si>
  <si>
    <t>Chi tạo nguồn, điều chỉnh tiền lương</t>
  </si>
  <si>
    <t>CHI CÁC CHƯƠNG TRÌNH MỤC TIÊU</t>
  </si>
  <si>
    <t>CHI CHUYỂN NGUỒN SANG NĂM SAU</t>
  </si>
  <si>
    <t>ĐÁNH GIÁ THỰC HIỆN CHI NGÂN SÁCH ĐỊA PHƯƠNG</t>
  </si>
  <si>
    <t>Chương trình y tế - dân số</t>
  </si>
  <si>
    <t>Biểu mẫu số 17</t>
  </si>
  <si>
    <t>Biểu mẫu số 19</t>
  </si>
  <si>
    <t>Tương đối (%)</t>
  </si>
  <si>
    <t>Thu kết dư</t>
  </si>
  <si>
    <t>Chi ngân sách</t>
  </si>
  <si>
    <t>Bội chi NSĐP/Bội thu NSĐP</t>
  </si>
  <si>
    <t>Chi bổ sung cho ngân sách cấp dưới</t>
  </si>
  <si>
    <t>NGÂN SÁCH CẤP QUẬN</t>
  </si>
  <si>
    <t>NGÂN SÁCH PHƯỜNG</t>
  </si>
  <si>
    <t xml:space="preserve"> - Thu bổ sung cân đối ngân sách</t>
  </si>
  <si>
    <t xml:space="preserve"> - Thu bổ sung có mục tiêu</t>
  </si>
  <si>
    <t>Chi thuộc nhiệm vụ của ngân sách cấp quận</t>
  </si>
  <si>
    <t xml:space="preserve"> - Chi bổ sung cân đối ngân sách</t>
  </si>
  <si>
    <t xml:space="preserve"> - Chi bổ sung có mục tiêu</t>
  </si>
  <si>
    <t>Chi thuộc nhiệm vụ của ngân sách phường</t>
  </si>
  <si>
    <t>Biểu mẫu số 20</t>
  </si>
  <si>
    <t>Tổng số</t>
  </si>
  <si>
    <t>Bao gồm</t>
  </si>
  <si>
    <t>Tổng số</t>
  </si>
  <si>
    <t>Thu từ hoạt động XNK</t>
  </si>
  <si>
    <t>Thu từ dầu thô</t>
  </si>
  <si>
    <t>9=5/1</t>
  </si>
  <si>
    <t>10=6/2</t>
  </si>
  <si>
    <t>11=7/3</t>
  </si>
  <si>
    <t>12=8/4</t>
  </si>
  <si>
    <t>Biểu mẫu số 21</t>
  </si>
  <si>
    <t>Tổng thu NSNN trên địa bàn</t>
  </si>
  <si>
    <t>1. Thu từ khu vực DNNN do trung ương quản lý</t>
  </si>
  <si>
    <t>2. Thu từ khu vực DNNN do địa phương quản lý</t>
  </si>
  <si>
    <t>1. Thuế giá trị gia tăng thu từ hàng hóa nhập khẩu</t>
  </si>
  <si>
    <t>2. Thuế xuất khẩu</t>
  </si>
  <si>
    <t>3. Thuế nhập khẩu</t>
  </si>
  <si>
    <t>4. Thuế tiêu thụ đặc biệt thu từ hàng hóa nhập khẩu</t>
  </si>
  <si>
    <t>5. Thuế bảo vệ môi trường thu từ hàng hóa nhập khẩu</t>
  </si>
  <si>
    <t>6. Thu khác</t>
  </si>
  <si>
    <t>TỔNG SỐ</t>
  </si>
  <si>
    <t>Phường 1</t>
  </si>
  <si>
    <t>Phường 2</t>
  </si>
  <si>
    <t>Phường 3</t>
  </si>
  <si>
    <t>Phường 4</t>
  </si>
  <si>
    <t>Phường 5</t>
  </si>
  <si>
    <t>Phường 6</t>
  </si>
  <si>
    <t>Phường 7</t>
  </si>
  <si>
    <t>Phường 8</t>
  </si>
  <si>
    <t>Phường 9</t>
  </si>
  <si>
    <t>Phường 10</t>
  </si>
  <si>
    <t>Phường 11</t>
  </si>
  <si>
    <t>Phường 12</t>
  </si>
  <si>
    <t>Phường 13</t>
  </si>
  <si>
    <t>Phường 14</t>
  </si>
  <si>
    <t>Phường 15</t>
  </si>
  <si>
    <t>Phường 16</t>
  </si>
  <si>
    <t>I. Thu nội địa</t>
  </si>
  <si>
    <t>II. Thu từ dầu thô</t>
  </si>
  <si>
    <t>III. Thu từ hoạt động xuất nhập khẩu</t>
  </si>
  <si>
    <t>3. Thuế SD đất phi nông nghiệp</t>
  </si>
  <si>
    <t>4. Phí - lệ phí</t>
  </si>
  <si>
    <t>5. Lệ phí môn bài</t>
  </si>
  <si>
    <t>6. Thu khác ngân sách</t>
  </si>
  <si>
    <t>Tên đơn vị</t>
  </si>
  <si>
    <t>1=2+9+10</t>
  </si>
  <si>
    <t>2=3+…+8</t>
  </si>
  <si>
    <t>Biểu mẫu số 22</t>
  </si>
  <si>
    <t>Ngân sách địa phương</t>
  </si>
  <si>
    <t>1=2+3</t>
  </si>
  <si>
    <t>4=5+6</t>
  </si>
  <si>
    <t>7=4/1</t>
  </si>
  <si>
    <t>8=5/2</t>
  </si>
  <si>
    <t>9=6/3</t>
  </si>
  <si>
    <t>CHI CHUYỂN NGUỒN SANG NĂM SAU</t>
  </si>
  <si>
    <t>Ngân sách cấp quận</t>
  </si>
  <si>
    <t>Ngân sách phường</t>
  </si>
  <si>
    <t xml:space="preserve"> - Chi đầu tư từ nguồn thu tiền sử dụng đất</t>
  </si>
  <si>
    <t xml:space="preserve"> - Chi giáo dục - đào tạo và dạy nghề</t>
  </si>
  <si>
    <t xml:space="preserve"> - Chi khoa học và công nghệ</t>
  </si>
  <si>
    <t xml:space="preserve"> - Chi đầu tư từ nguồn thu xổ số kiến thiết</t>
  </si>
  <si>
    <t>Chi đầu tư và hỗ trợ vốn cho các doanh nghiệp cung cấp sản phẩm, dịch vụ công ích do Nhà nước đặt hàng, các tổ chức kinh tế, tài chính</t>
  </si>
  <si>
    <t xml:space="preserve"> - Chi đầu tư từ nguồn thu xổ số kiến thiết</t>
  </si>
  <si>
    <t>Biểu mẫu số 23</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</si>
  <si>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</si>
  <si>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</si>
  <si>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</si>
  <si>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</si>
  <si>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</si>
  <si>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</si>
  <si>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</si>
  <si>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</si>
  <si>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</si>
  <si>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</si>
  <si>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</si>
  <si>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</si>
  <si>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BỔ SUNG CÂN ĐỐI CHO NGÂN SÁCH CẤP DƯỚI</t>
  </si>
  <si>
    <t>CHI NGÂN SÁCH CẤP QUẬN THEO LĨNH VỰC</t>
  </si>
  <si>
    <t>Biểu mẫu số 26</t>
  </si>
  <si>
    <t>Trong đó</t>
  </si>
  <si>
    <t>Chi giao thông</t>
  </si>
  <si>
    <t>Chi nông nghiệp, lâm nghiệp, thủy lợi, thủy sản</t>
  </si>
  <si>
    <t>Văn phòng HĐND và UBND</t>
  </si>
  <si>
    <t>Phòng Tài chính - Kế hoạch</t>
  </si>
  <si>
    <t>Phòng Kinh tế</t>
  </si>
  <si>
    <t>Phòng Văn hóa và Thông tin</t>
  </si>
  <si>
    <t>Phòng LĐ - TB và XH</t>
  </si>
  <si>
    <t>Phòng Quản lý đô thị</t>
  </si>
  <si>
    <t>Phòng Tài nguyên và Môi trường</t>
  </si>
  <si>
    <t>Phòng Tư pháp</t>
  </si>
  <si>
    <t>Thanh tra</t>
  </si>
  <si>
    <t>Phòng Nội vụ</t>
  </si>
  <si>
    <t>Phòng Giáo dục và Đào tạo</t>
  </si>
  <si>
    <t>Phòng Y tế</t>
  </si>
  <si>
    <t>Bệnh viện</t>
  </si>
  <si>
    <t>Trung tâm Văn hóa</t>
  </si>
  <si>
    <t>Nhà Thiếu nhi</t>
  </si>
  <si>
    <t>Trung tâm TDTT</t>
  </si>
  <si>
    <t>Ban Chỉ huy Quân sự</t>
  </si>
  <si>
    <t>Công an</t>
  </si>
  <si>
    <t>Quận Đoàn</t>
  </si>
  <si>
    <t>Hội Liên hiệp Phụ nữ</t>
  </si>
  <si>
    <t>Hội Cựu chiến binh</t>
  </si>
  <si>
    <t>Hội Chữ thập đỏ</t>
  </si>
  <si>
    <t>Hội Khuyến học</t>
  </si>
  <si>
    <t>Hội Đông y</t>
  </si>
  <si>
    <t>Hội Luật gia</t>
  </si>
  <si>
    <t>Hội Cựu thanh niên xung phong</t>
  </si>
  <si>
    <t>Hội Người mù</t>
  </si>
  <si>
    <t>Hội Cựu giáo chức</t>
  </si>
  <si>
    <t>Bảo hiểm xã hội Quận 8</t>
  </si>
  <si>
    <t>Tòa án nhân dân</t>
  </si>
  <si>
    <t>Viện Kiểm sát nhân dân</t>
  </si>
  <si>
    <t>Chi cục Thi hành án dân sự</t>
  </si>
  <si>
    <t>Chi cục Thống kê</t>
  </si>
  <si>
    <t>Trạm Thú y</t>
  </si>
  <si>
    <t>Kho bạc Nhà nước Quận 8</t>
  </si>
  <si>
    <t>Đội Quản lý thị trường 8B</t>
  </si>
  <si>
    <t>Chi cục Thuế Quận 8</t>
  </si>
  <si>
    <t>Ủy ban nhân dân Phường 1</t>
  </si>
  <si>
    <t>Ủy ban nhân dân Phường 6</t>
  </si>
  <si>
    <t>Ủy ban nhân dân Phường 7</t>
  </si>
  <si>
    <t>Chi nhiệm vụ khác theo chế độ</t>
  </si>
  <si>
    <t>Ủy ban nhân dân Phường 2</t>
  </si>
  <si>
    <t>Ủy ban nhân dân Phường 3</t>
  </si>
  <si>
    <t>Ủy ban nhân dân Phường 4</t>
  </si>
  <si>
    <t>Ủy ban nhân dân Phường 5</t>
  </si>
  <si>
    <t>Ủy ban nhân dân Phường 8</t>
  </si>
  <si>
    <t>Ủy ban nhân dân Phường 9</t>
  </si>
  <si>
    <t>Ủy ban nhân dân Phường 10</t>
  </si>
  <si>
    <t>Ủy ban nhân dân Phường 11</t>
  </si>
  <si>
    <t>Ủy ban nhân dân Phường 12</t>
  </si>
  <si>
    <t>Ủy ban nhân dân Phường 13</t>
  </si>
  <si>
    <t>Ủy ban nhân dân Phường 14</t>
  </si>
  <si>
    <t>Ủy ban nhân dân Phường 15</t>
  </si>
  <si>
    <t>Ủy ban nhân dân Phường 16</t>
  </si>
  <si>
    <t>Trung tâm Y tế</t>
  </si>
  <si>
    <t>Phòng Cảnh sát PCCC</t>
  </si>
  <si>
    <t>Trường Mầm non Vườn Hồng</t>
  </si>
  <si>
    <t>Trường Mầm non Việt Nhi</t>
  </si>
  <si>
    <t>Trường Mầm non Bình Minh</t>
  </si>
  <si>
    <t>Trường Mầm non Tuổi Hoa</t>
  </si>
  <si>
    <t>Trường Mầm non Tuổi Thơ</t>
  </si>
  <si>
    <t>Trường Mầm non 19/5</t>
  </si>
  <si>
    <t>Trường Mầm non Tuổi Ngọc</t>
  </si>
  <si>
    <t>Trường Mầm non Thỏ Ngọc</t>
  </si>
  <si>
    <t>Trường Mầm non Vành Khuyên</t>
  </si>
  <si>
    <t>Trường Mầm non Vàng Anh</t>
  </si>
  <si>
    <t>Trường Mầm non Nắng Mai</t>
  </si>
  <si>
    <t>Trường Mầm non Sơn Ca</t>
  </si>
  <si>
    <t>Trường Mầm non Họa Mi</t>
  </si>
  <si>
    <t>Trường Mầm non Kim Đồng</t>
  </si>
  <si>
    <t>Trường Mầm non Bông Hồng</t>
  </si>
  <si>
    <t>Trường Mầm non Bé Ngoan</t>
  </si>
  <si>
    <t>Trường Mầm non Bông Sen</t>
  </si>
  <si>
    <t>Trường Hy Vọng</t>
  </si>
  <si>
    <t>Trường THCS Khánh Bình</t>
  </si>
  <si>
    <t>Trường THCS Dương Bá Trạc</t>
  </si>
  <si>
    <t>Trường THCS Chánh Hưng</t>
  </si>
  <si>
    <t>Trường THCS Sương Nguyệt Anh</t>
  </si>
  <si>
    <t>Trường THCS Bình An</t>
  </si>
  <si>
    <t>Trường THCS Bình Đông</t>
  </si>
  <si>
    <t>Trường THCS Lê Lai</t>
  </si>
  <si>
    <t>Trường THCS Tùng Thiện Vương</t>
  </si>
  <si>
    <t>Trường THCS Trần Danh Ninh</t>
  </si>
  <si>
    <t>Trường THCS Lý Thánh Tông</t>
  </si>
  <si>
    <t>Trường THCS Phú Lợi</t>
  </si>
  <si>
    <t>Trường BDNV giáo dục</t>
  </si>
  <si>
    <t>Trường Mầm non Hoa Phượng</t>
  </si>
  <si>
    <t>Trung tâm GD nghề nghiệp - GDTX</t>
  </si>
  <si>
    <t>5</t>
  </si>
  <si>
    <t>6</t>
  </si>
  <si>
    <t>7</t>
  </si>
  <si>
    <t>8</t>
  </si>
  <si>
    <t>9</t>
  </si>
  <si>
    <t>10</t>
  </si>
  <si>
    <t>11</t>
  </si>
  <si>
    <t>12</t>
  </si>
  <si>
    <t>13</t>
  </si>
  <si>
    <t>14</t>
  </si>
  <si>
    <t>Biểu mẫu số 24</t>
  </si>
  <si>
    <t>Chi chuyển nguồn sang ngân sách năm sau</t>
  </si>
  <si>
    <t>CÁC CƠ QUAN, TỔ CHỨC</t>
  </si>
  <si>
    <t>CHI CHUYỂN NGUỒN SANG NGÂN SÁCH NĂM SAU</t>
  </si>
  <si>
    <t>Biểu mẫu số 25</t>
  </si>
  <si>
    <t>Chi trả nợ lãi do chính quyền địa phương vay</t>
  </si>
  <si>
    <t>CHI BỔ SUNG QUỸ DỰ TRỮ TÀI CHÍNH</t>
  </si>
  <si>
    <t>Chi chương trình mục tiêu</t>
  </si>
  <si>
    <t>CHI BỔ SUNG CÓ MỤC TIÊU CHO NGÂN SÁCH CẤP DƯỚI</t>
  </si>
  <si>
    <t>BBT giải phóng mặt bằng</t>
  </si>
  <si>
    <t>Biểu mẫu số 27</t>
  </si>
  <si>
    <t>Chi giáo dục, đào tạo và dạy nghề</t>
  </si>
  <si>
    <t>Trong
đó</t>
  </si>
  <si>
    <t>Biểu mẫu số 28</t>
  </si>
  <si>
    <t>Tên quỹ</t>
  </si>
  <si>
    <t>Tổng nguồn vốn phát sinh trong năm</t>
  </si>
  <si>
    <t>Tổng sử dụng nguồn vốn trong năm</t>
  </si>
  <si>
    <t>Chênh lệch nguồn trong năm</t>
  </si>
  <si>
    <t>5=1+2-4</t>
  </si>
  <si>
    <t>9=6-8</t>
  </si>
  <si>
    <t>10=1+6-8</t>
  </si>
  <si>
    <t>Cộng</t>
  </si>
  <si>
    <t>Biểu mẫu số 29</t>
  </si>
  <si>
    <t>(KHÔNG BAO GỒM NGUỒN NSNN)</t>
  </si>
  <si>
    <t>3=2/1</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</si>
  <si>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</si>
  <si>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</si>
  <si>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</si>
  <si>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</si>
  <si>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</si>
  <si>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</si>
  <si>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</si>
  <si>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Sự nghiệp thể dục thể thao</t>
  </si>
  <si>
    <t>Sự nghiệp kinh tế</t>
  </si>
  <si>
    <t>5=6+7</t>
  </si>
  <si>
    <t>Biểu mẫu số 31</t>
  </si>
  <si>
    <t>Biểu mẫu số 32</t>
  </si>
  <si>
    <t>Dự toán</t>
  </si>
  <si>
    <t>CHI TRẢ NỢ LÃI CÁC KHOẢN VAY</t>
  </si>
  <si>
    <t>Đầu tư phát triển</t>
  </si>
  <si>
    <t>Kinh phí sự nghiệp</t>
  </si>
  <si>
    <t>Vốn trong nước</t>
  </si>
  <si>
    <t>Vốn ngoài nước</t>
  </si>
  <si>
    <t>2=5+12</t>
  </si>
  <si>
    <t>3=8+15</t>
  </si>
  <si>
    <t>4=5+8</t>
  </si>
  <si>
    <t>8=9+10</t>
  </si>
  <si>
    <t>11=12+15</t>
  </si>
  <si>
    <t>12=13+14</t>
  </si>
  <si>
    <t>15=16+17</t>
  </si>
  <si>
    <t>Chương trình mục tiêu y tế - dân số</t>
  </si>
  <si>
    <t>Chương trình đào tạo nghề nông nghiệp</t>
  </si>
  <si>
    <t>Chia ra</t>
  </si>
  <si>
    <t>Số bổ sung cân đối từ ngân sách cấp trên</t>
  </si>
  <si>
    <t>Số bổ sung thực hiện cải cách tiền lương</t>
  </si>
  <si>
    <t>Thu phân chia</t>
  </si>
  <si>
    <t>2=3+5</t>
  </si>
  <si>
    <t>9=2+6+7+8</t>
  </si>
  <si>
    <t>Thu NSP được hưởng theo phân cấp</t>
  </si>
  <si>
    <t>Thu NSP hưởng 100%</t>
  </si>
  <si>
    <t>Trong đó: Phần NSP được hưởng</t>
  </si>
  <si>
    <t>Tổng chi cân đối NSP</t>
  </si>
  <si>
    <t>Biểu mẫu số 41</t>
  </si>
  <si>
    <t>Chi tạo nguồn điều chỉnh tiền lương</t>
  </si>
  <si>
    <t>Bổ sung thực hiện các chương trình mục tiêu quốc gia</t>
  </si>
  <si>
    <t>Bổ sung vốn đầu tư thực hiện chương trình mục tiêu, nhiệm vụ</t>
  </si>
  <si>
    <t>Bổ sung vốn sự nghiệp thực hiện chế độ, chính sách</t>
  </si>
  <si>
    <t>Tổng chi cân đối ngân sách</t>
  </si>
  <si>
    <t>Tổng chi ngân sách</t>
  </si>
  <si>
    <t>2=3+4+6+7+8</t>
  </si>
  <si>
    <t>1=2+9 +13</t>
  </si>
  <si>
    <t>Bổ sung vốn đầu tư để thực hiện các chương trình mục tiêu, nhiệm vụ</t>
  </si>
  <si>
    <t>Bổ sung vốn sự nghiệp thực hiện các chế độ, chính sách, nhiệm vụ</t>
  </si>
  <si>
    <t>1=2+3+4</t>
  </si>
  <si>
    <t>5=2-4</t>
  </si>
  <si>
    <t>6=1+2-4</t>
  </si>
  <si>
    <t>10=7-9</t>
  </si>
  <si>
    <t>11=6+7-9</t>
  </si>
  <si>
    <t>Biểu mẫu số 45</t>
  </si>
  <si>
    <t>a</t>
  </si>
  <si>
    <t>b</t>
  </si>
  <si>
    <t>Biểu mẫu số 47</t>
  </si>
  <si>
    <t>Công ty TNHH MTV DVCI</t>
  </si>
  <si>
    <t>UBND Phường 1</t>
  </si>
  <si>
    <t>UBND Phường 6</t>
  </si>
  <si>
    <t>UBND Phường 7</t>
  </si>
  <si>
    <t>UBND Phường 16</t>
  </si>
  <si>
    <t>Hỗ trợ lãi vay đầu tư</t>
  </si>
  <si>
    <t xml:space="preserve">Trường THCS Phan Đăng Lưu </t>
  </si>
  <si>
    <t>Trung tâm Bồi dưỡng chính trị</t>
  </si>
  <si>
    <t>Ban Bồi thường giải phóng mặt bằng</t>
  </si>
  <si>
    <t xml:space="preserve">Trường Mầm non Bình Minh </t>
  </si>
  <si>
    <t xml:space="preserve">Trường Mầm non Sơn Ca </t>
  </si>
  <si>
    <t xml:space="preserve">Trường Mầm non Kim Đồng </t>
  </si>
  <si>
    <t>Ban Quản lý chợ Phạm Thế Hiển</t>
  </si>
  <si>
    <t>Trường Tiểu học Lý Thái Tổ</t>
  </si>
  <si>
    <t>Trường Tiểu học Nguyễn Trực</t>
  </si>
  <si>
    <t>Trường Tiểu học Âu Dương Lân</t>
  </si>
  <si>
    <t xml:space="preserve">Trường Tiểu học Phan Đăng Lưu </t>
  </si>
  <si>
    <t>Trường Tiểu học Nguyễn Trung Ngạn</t>
  </si>
  <si>
    <t>Trường Tiểu học Trần Danh Lâm</t>
  </si>
  <si>
    <t>Trường Tiểu học Hưng Phú</t>
  </si>
  <si>
    <t>Trường Tiểu học Tuy Lý Vương</t>
  </si>
  <si>
    <t>Trường Tiểu học Trần Nguyên Hãn</t>
  </si>
  <si>
    <t>Trường Tiểu học Nguyễn Nhược Thị</t>
  </si>
  <si>
    <t>Trường Tiểu học Thái Hưng</t>
  </si>
  <si>
    <t>Trường Tiểu học An Phong</t>
  </si>
  <si>
    <t>Trường Tiểu học Lý Nhân Tông</t>
  </si>
  <si>
    <t>Trường Tiểu học Bùi Minh Trực</t>
  </si>
  <si>
    <t>Trường Tiểu học Lưu Hữu Phước</t>
  </si>
  <si>
    <t>Trường Tiểu học Hoàng Minh Đạo</t>
  </si>
  <si>
    <t>Trường Tiểu học Vàm Cỏ Đông</t>
  </si>
  <si>
    <t>Trường Tiểu học Hồng Đức</t>
  </si>
  <si>
    <t>Trường Tiểu học Rạch Ông</t>
  </si>
  <si>
    <t>Quỹ Vì người nghèo</t>
  </si>
  <si>
    <t>Quỹ Từ thiện xã hội</t>
  </si>
  <si>
    <t>Quỹ Khuyến học</t>
  </si>
  <si>
    <t>Quỹ Đền ơn đáp nghĩa</t>
  </si>
  <si>
    <t>Quỹ Xóa đói giảm nghèo</t>
  </si>
  <si>
    <t>Quỹ Vì biển đảo quê hương - Vì tuyến đầu Tổ quốc</t>
  </si>
  <si>
    <t xml:space="preserve">Quỹ Chăm sóc và phát huy vai trò người cao tuổi </t>
  </si>
  <si>
    <t>Tương đối
(%)</t>
  </si>
  <si>
    <t>Tổng thu
NSNN</t>
  </si>
  <si>
    <t>Thu từ hoạt động xổ số kiến thiết</t>
  </si>
  <si>
    <t>Trong đó: Hỗ trợ từ NSĐP (nếu có)</t>
  </si>
  <si>
    <t>Dự toán năm 2019</t>
  </si>
  <si>
    <t>Số dư nguồn đến 31/12/2018</t>
  </si>
  <si>
    <t>TT GD nghề nghiệp - GD thường xuyên</t>
  </si>
  <si>
    <t>Dự toán năm 2019</t>
  </si>
  <si>
    <t>Phòng LĐ-TBXH</t>
  </si>
  <si>
    <t>Chúc thọ, mừng thọ</t>
  </si>
  <si>
    <t>Chăm sóc sức khỏe ban đầu người cao tuổi</t>
  </si>
  <si>
    <t>Kế hoạch năm 2019</t>
  </si>
  <si>
    <t>Liên đoàn Lao động Quận 8</t>
  </si>
  <si>
    <t>Đội Quản lý thị trường số 8</t>
  </si>
  <si>
    <t>Trường Tiểu học Bông Sao</t>
  </si>
  <si>
    <t>Trường Tiểu học Nguyễn Công Trứ</t>
  </si>
  <si>
    <t>Phòng LĐ-TB và XH</t>
  </si>
  <si>
    <t>CHI BỔ SUNG CHO NGÂN SÁCH CẤP DƯỚI</t>
  </si>
  <si>
    <t>ĐÁNH GIÁ CÂN ĐỐI NGÂN SÁCH ĐỊA PHƯƠNG NĂM 2019</t>
  </si>
  <si>
    <t>Ước thực hiện năm 2019</t>
  </si>
  <si>
    <t>ĐÁNH GIÁ THỰC HIỆN THU NGÂN SÁCH NHÀ NƯỚC THEO LĨNH VỰC NĂM 2019</t>
  </si>
  <si>
    <t>THEO CƠ CẤU CHI NĂM 2019</t>
  </si>
  <si>
    <t>Ước thực hiện năm 2019</t>
  </si>
  <si>
    <t>Dự toán năm 2020</t>
  </si>
  <si>
    <t>Đối với các chỉ tiêu thu NSĐP, so sánh dự toán năm 2020 với ước thực hiện năm 2019.</t>
  </si>
  <si>
    <t>Đối với các chỉ tiêu chi NSĐP, so sánh dự toán năm 2020 với dự toán năm 2019.</t>
  </si>
  <si>
    <t>DỰ TOÁN THU NGÂN SÁCH NHÀ NƯỚC THEO LĨNH VỰC NĂM 2020</t>
  </si>
  <si>
    <t>DỰ TOÁN CHI NGÂN SÁCH ĐỊA PHƯƠNG THEO CƠ CẤU CHI NĂM 2020</t>
  </si>
  <si>
    <t>ĐÁNH GIÁ CÂN ĐỐI NGUỒN THU, CHI NGÂN SÁCH CẤP QUẬN
VÀ NGÂN SÁCH PHƯỜNG NĂM 2019</t>
  </si>
  <si>
    <t>ĐÁNH GIÁ THỰC HIỆN THU NGÂN SÁCH NHÀ NƯỚC TRÊN ĐỊA BÀN TỪNG PHƯỜNG NĂM 2019</t>
  </si>
  <si>
    <t>ĐÁNH GIÁ THỰC HIỆN THU NGÂN SÁCH NHÀ NƯỚC TRÊN ĐỊA BÀN
TỪNG PHƯỜNG THEO LĨNH VỰC NĂM 2019</t>
  </si>
  <si>
    <t>ĐÁNH GIÁ THỰC HIỆN CHI NGÂN SÁCH ĐỊA PHƯƠNG, CHI NGÂN SÁCH CẤP QUẬN
VÀ CHI NGÂN SÁCH PHƯỜNG THEO CƠ CẤU CHI NĂM 2019</t>
  </si>
  <si>
    <t>ĐÁNH GIÁ THỰC HIỆN CHI NGÂN SÁCH CẤP QUẬN THEO LĨNH VỰC NĂM 2019</t>
  </si>
  <si>
    <t>ĐÁNH GIÁ THỰC HIỆN CHI NGÂN SÁCH CẤP QUẬN TỪNG CƠ QUAN, TỔ CHỨC THEO LĨNH VỰC NĂM 2019</t>
  </si>
  <si>
    <t>ĐÁNH GIÁ THỰC HIỆN CHI ĐẦU TƯ PHÁT TRIỂN CỦA NGÂN SÁCH CẤP QUẬN
CHO TỪNG CƠ QUAN, TỔ CHỨC THEO LĨNH VỰC NĂM 2019</t>
  </si>
  <si>
    <t>ĐÁNH GIÁ THỰC HIỆN CHI THƯỜNG XUYÊN CỦA NGÂN SÁCH CẤP QUẬN
CHO TỪNG CƠ QUAN, TỔ CHỨC THEO LĨNH VỰC NĂM 2019</t>
  </si>
  <si>
    <t>ĐÁNH GIÁ THỰC HIỆN CHI CÂN ĐỐI NGÂN SÁCH TỪNG PHƯỜNG NĂM 2019</t>
  </si>
  <si>
    <t>Dự toán chi NS năm 2019</t>
  </si>
  <si>
    <t>Ước thực hiện chi NS năm 2019</t>
  </si>
  <si>
    <t>TÌNH HÌNH THỰC HIỆN KẾ HOẠCH TÀI CHÍNH CÁC QUỸ TÀI CHÍNH NHÀ NƯỚC
NGOÀI NGÂN SÁCH DO ĐỊA PHƯƠNG QUẢN LÝ NĂM 2019</t>
  </si>
  <si>
    <t>Số dư nguồn đến 31/12/2019</t>
  </si>
  <si>
    <t>ĐÁNH GIÁ THỰC HIỆN THU DỊCH VỤ CỦA ĐƠN VỊ SỰ NGHIỆP CÔNG NĂM 2019</t>
  </si>
  <si>
    <t>CÂN ĐỐI NGUỒN THU, CHI DỰ TOÁN NGÂN SÁCH CẤP QUẬN
VÀ NGÂN SÁCH PHƯỜNG NĂM 2020</t>
  </si>
  <si>
    <t>DỰ TOÁN THU NGÂN SÁCH NHÀ NƯỚC TRÊN ĐỊA BÀN TỪNG PHƯỜNG NĂM 2020</t>
  </si>
  <si>
    <t>DỰ TOÁN THU NGÂN SÁCH NHÀ NƯỚC TRÊN ĐỊA BÀN
TỪNG PHƯỜNG THEO LĨNH VỰC NĂM 2020</t>
  </si>
  <si>
    <t>Dự toán năm 2020</t>
  </si>
  <si>
    <t>DỰ TOÁN CHI NGÂN SÁCH CẤP QUẬN THEO LĨNH VỰC NĂM 2020</t>
  </si>
  <si>
    <t>DỰ TOÁN CHI NGÂN SÁCH CẤP QUẬN TỪNG CƠ QUAN, TỔ CHỨC THEO LĨNH VỰC NĂM 2020</t>
  </si>
  <si>
    <t>DỰ TOÁN CHI THƯỜNG XUYÊN CỦA NGÂN SÁCH CẤP QUẬN
CHO TỪNG CƠ QUAN, TỔ CHỨC THEO LĨNH VỰC NĂM 2020</t>
  </si>
  <si>
    <t>DỰ TOÁN CHI CHƯƠNG TRÌNH MỤC TIÊU QUỐC GIA NGÂN SÁCH CẤP QUẬN VÀ NGÂN SÁCH PHƯỜNG NĂM 2020</t>
  </si>
  <si>
    <t>DỰ TOÁN CHI NGÂN SÁCH TỪNG PHƯỜNG NĂM 2020</t>
  </si>
  <si>
    <t>DỰ TOÁN BỔ SUNG CÓ MỤC TIÊU TỪ NGÂN SÁCH CẤP QUẬN
CHO NGÂN SÁCH TỪNG PHƯỜNG NĂM 2020</t>
  </si>
  <si>
    <t>KẾ HOẠCH TÀI CHÍNH CÁC QUỸ TÀI CHÍNH NHÀ NƯỚC
NGOÀI NGÂN SÁCH DO ĐỊA PHƯƠNG QUẢN LÝ NĂM 2020</t>
  </si>
  <si>
    <t>Số dư nguồn đến ngày 31/12/2019</t>
  </si>
  <si>
    <t>Kế hoạch năm 2020</t>
  </si>
  <si>
    <t>Dự kiến dư nguồn đến ngày 31/12/2020</t>
  </si>
  <si>
    <t>KẾ HOẠCH THU DỊCH VỤ CỦA ĐƠN VỊ SỰ NGHIỆP CÔNG NĂM 2020</t>
  </si>
  <si>
    <t>BQL DAĐTXD khu vực</t>
  </si>
  <si>
    <t>Chi nộp ngân sách cấp trên (hoàn trả bổ sung có mục tiêu năm 2017, 2018 còn thừa):</t>
  </si>
  <si>
    <t>Trường Hy Vọng Quận 8</t>
  </si>
  <si>
    <t>Chi ngân sách phường bao gồm chi nộp cấp trên:</t>
  </si>
  <si>
    <t>Chi ngân sách phường không tính nộp ngân sách quận:</t>
  </si>
  <si>
    <t>BQL dự án ĐTXD khu vực</t>
  </si>
  <si>
    <t>Ủy ban Mặt trận Tổ quốc Việt Nam</t>
  </si>
  <si>
    <t>Trung tâm Thể dục thể thao</t>
  </si>
  <si>
    <t>BQL Dự án đầu tư xây dựng khu vực</t>
  </si>
  <si>
    <t>Thu chuyển nguồn từ năm trước chuyển sang: Nguồn cải cách tiền lương còn dư năm trước dùng cân đối chi thường xuyên năm 2020.</t>
  </si>
  <si>
    <t>Số dư nguồn đến ngày 31/12/2018</t>
  </si>
  <si>
    <t>Trên cơ sở số liệu do Chi cục Thuế Quận 8 xác định, UBND Quận 8 điều chỉnh, giao chi tiết để xác định số bổ sung cho ngân sách phường.</t>
  </si>
  <si>
    <t>Biểu số 70/CK-NSNN</t>
  </si>
  <si>
    <t>Quận 8</t>
  </si>
  <si>
    <t>(Dự toán trình Hội đồng nhân dân)</t>
  </si>
  <si>
    <t>Biểu số 72/CK-NSNN</t>
  </si>
  <si>
    <t>DỰ TOÁN CHI NGÂN SÁCH QUẬN,
CHI NGÂN SÁCH CẤP QUẬN
VÀ CHI NGÂN SÁCH PHƯỜNG THEO CƠ CẤU CHI NĂM 2020</t>
  </si>
  <si>
    <t>Biểu số 73/CK-NSNN</t>
  </si>
  <si>
    <t>Biểu số 74/CK-NSNN</t>
  </si>
  <si>
    <t>Biểu số 79/CK-NSNN</t>
  </si>
  <si>
    <t>Biểu số 78/CK-NSNN</t>
  </si>
  <si>
    <t xml:space="preserve">DỰ TOÁN THU, SỐ BỔ SUNG VÀ DỰ TOÁN CHI CÂN ĐỐI NGÂN SÁCH TỪNG PHƯỜNG NĂM 2020
</t>
  </si>
  <si>
    <t xml:space="preserve">(Dự toán trình Hội đồng nhân dân)
</t>
  </si>
  <si>
    <t>Biểu số 76/CK-NSNN</t>
  </si>
  <si>
    <t>Biểu số 69/CK-NSNN</t>
  </si>
  <si>
    <t>CÂN ĐỐI NGÂN SÁCH QUẬN NĂM 2020</t>
  </si>
  <si>
    <t>Biểu số 71/CK-NSNN</t>
  </si>
  <si>
    <t>Biểu mẫu số 39</t>
  </si>
  <si>
    <t>DỰ TOÁN THU, CHI NGÂN SÁCH PHƯỜNG VÀ SỐ BỔ SUNG CÂN ĐỐI
TỪ NGÂN SÁCH CẤP QUẬN CHO NGÂN SÁCH PHƯỜNG NĂM 2020</t>
  </si>
  <si>
    <t>Biểu số 77/CK-NSNN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</si>
</sst>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_);_(* \(#,##0\);_(* &quot;-&quot;??_);_(@_)"/>
    <numFmt numFmtId="187" formatCode="#,##0\ _₫"/>
    <numFmt numFmtId="188" formatCode="0.0%"/>
    <numFmt numFmtId="189" formatCode="#,##0.000"/>
    <numFmt numFmtId="190" formatCode="#,##0.0"/>
    <numFmt numFmtId="191" formatCode="0.000"/>
    <numFmt numFmtId="192" formatCode="0.0000"/>
    <numFmt numFmtId="193" formatCode="0.00000"/>
    <numFmt numFmtId="194" formatCode="0.000000"/>
    <numFmt numFmtId="195" formatCode="0.0000000"/>
    <numFmt numFmtId="196" formatCode="0.0000%"/>
    <numFmt numFmtId="197" formatCode="_-* #,##0\ _$_-;\-* #,##0\ _$_-;_-* &quot;-&quot;??\ _$_-;_-@_-"/>
    <numFmt numFmtId="198" formatCode="#,##0_ ;\-#,##0\ "/>
    <numFmt numFmtId="199" formatCode="0.000%"/>
    <numFmt numFmtId="200" formatCode="#,##0.0_);[Red]\(#,##0.0\)"/>
    <numFmt numFmtId="201" formatCode="&quot;$&quot;#,##0.00"/>
    <numFmt numFmtId="202" formatCode="#,##0.0000"/>
    <numFmt numFmtId="203" formatCode="0.0"/>
  </numFmts>
  <fonts count="81">
    <font>
      <sz val="11"/>
      <color theme="1"/>
      <name val="Calibri"/>
      <family val="2"/>
    </font>
    <font>
      <sz val="11"/>
      <color indexed="8"/>
      <name val="Calibri"/>
      <family val="2"/>
    </font>
    <font>
      <sz val="12"/>
      <name val=".VnTime"/>
      <family val="2"/>
    </font>
    <font>
      <sz val="12"/>
      <name val="Times New Roman"/>
      <family val="1"/>
    </font>
    <font>
      <b/>
      <sz val="12"/>
      <name val="Times New Roman"/>
      <family val="1"/>
    </font>
    <font>
      <i/>
      <sz val="12"/>
      <name val="Times New Roman"/>
      <family val="1"/>
    </font>
    <font>
      <sz val="14"/>
      <name val="Times New Roman"/>
      <family val="1"/>
    </font>
    <font>
      <sz val="12"/>
      <name val=".VnArial Narrow"/>
      <family val="2"/>
    </font>
    <font>
      <b/>
      <sz val="14"/>
      <name val="Times New Roman"/>
      <family val="1"/>
    </font>
    <font>
      <b/>
      <sz val="13"/>
      <name val="Times New Roman"/>
      <family val="1"/>
    </font>
    <font>
      <i/>
      <sz val="14"/>
      <name val="Times New Roman"/>
      <family val="1"/>
    </font>
    <font>
      <sz val="13"/>
      <name val="Times New Roman"/>
      <family val="1"/>
    </font>
    <font>
      <sz val="10"/>
      <name val="MS Sans Serif"/>
      <family val="2"/>
    </font>
    <font>
      <b/>
      <sz val="10"/>
      <name val="Times New Roman"/>
      <family val="1"/>
    </font>
    <font>
      <sz val="10"/>
      <name val="Times New Roman"/>
      <family val="1"/>
    </font>
    <font>
      <u val="single"/>
      <sz val="10"/>
      <name val="Times New Roman"/>
      <family val="1"/>
    </font>
    <font>
      <i/>
      <u val="single"/>
      <sz val="10"/>
      <name val="Times New Roman"/>
      <family val="1"/>
    </font>
    <font>
      <sz val="9.5"/>
      <name val="Times New Roman"/>
      <family val="1"/>
    </font>
    <font>
      <b/>
      <sz val="9.5"/>
      <name val="Times New Roman"/>
      <family val="1"/>
    </font>
    <font>
      <b/>
      <sz val="11"/>
      <name val="Times New Roman"/>
      <family val="1"/>
    </font>
    <font>
      <sz val="11"/>
      <name val="Times New Roman"/>
      <family val="1"/>
    </font>
    <font>
      <i/>
      <sz val="11"/>
      <name val="Times New Roman"/>
      <family val="1"/>
    </font>
    <font>
      <b/>
      <i/>
      <sz val="11"/>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11"/>
      <name val="Calibri"/>
      <family val="2"/>
    </font>
    <font>
      <sz val="12"/>
      <color indexed="10"/>
      <name val="Times New Roman"/>
      <family val="1"/>
    </font>
    <font>
      <i/>
      <sz val="11"/>
      <color indexed="10"/>
      <name val="Times New Roman"/>
      <family val="1"/>
    </font>
    <font>
      <sz val="11"/>
      <color indexed="10"/>
      <name val="Times New Roman"/>
      <family val="1"/>
    </font>
    <font>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4"/>
      <color theme="1"/>
      <name val="Times New Roman"/>
      <family val="1"/>
    </font>
    <font>
      <sz val="12"/>
      <color rgb="FF000000"/>
      <name val="Times New Roman"/>
      <family val="1"/>
    </font>
    <font>
      <sz val="11"/>
      <color theme="1"/>
      <name val="Times New Roman"/>
      <family val="1"/>
    </font>
    <font>
      <b/>
      <sz val="12"/>
      <color rgb="FF000000"/>
      <name val="Times New Roman"/>
      <family val="1"/>
    </font>
    <font>
      <b/>
      <sz val="11"/>
      <color rgb="FF000000"/>
      <name val="Times New Roman"/>
      <family val="1"/>
    </font>
    <font>
      <sz val="11"/>
      <color rgb="FF000000"/>
      <name val="Times New Roman"/>
      <family val="1"/>
    </font>
    <font>
      <sz val="10"/>
      <color theme="1"/>
      <name val="Times New Roman"/>
      <family val="1"/>
    </font>
    <font>
      <sz val="10"/>
      <color rgb="FF000000"/>
      <name val="Times New Roman"/>
      <family val="1"/>
    </font>
    <font>
      <sz val="12"/>
      <color rgb="FFFF0000"/>
      <name val="Times New Roman"/>
      <family val="1"/>
    </font>
    <font>
      <i/>
      <sz val="11"/>
      <color rgb="FFFF0000"/>
      <name val="Times New Roman"/>
      <family val="1"/>
    </font>
    <font>
      <sz val="11"/>
      <color rgb="FFFF0000"/>
      <name val="Times New Roman"/>
      <family val="1"/>
    </font>
    <font>
      <i/>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hair"/>
    </border>
    <border>
      <left style="thin"/>
      <right style="thin"/>
      <top>
        <color indexed="63"/>
      </top>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2"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97">
    <xf numFmtId="0" fontId="0"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Fill="1" applyAlignment="1">
      <alignment/>
    </xf>
    <xf numFmtId="0" fontId="3" fillId="0" borderId="0" xfId="0" applyFont="1" applyAlignment="1">
      <alignment vertical="center"/>
    </xf>
    <xf numFmtId="0" fontId="4" fillId="0" borderId="0" xfId="0" applyFont="1" applyAlignment="1">
      <alignment horizontal="centerContinuous" vertical="center"/>
    </xf>
    <xf numFmtId="0" fontId="4" fillId="0" borderId="0" xfId="0" applyNumberFormat="1"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xf>
    <xf numFmtId="0" fontId="5" fillId="0" borderId="0" xfId="0" applyFont="1" applyAlignment="1">
      <alignment horizontal="centerContinuous"/>
    </xf>
    <xf numFmtId="0" fontId="10" fillId="0" borderId="0" xfId="0" applyFont="1" applyBorder="1" applyAlignment="1">
      <alignment/>
    </xf>
    <xf numFmtId="0" fontId="5"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3" fontId="3" fillId="0" borderId="0" xfId="0" applyNumberFormat="1" applyFont="1" applyAlignment="1">
      <alignment/>
    </xf>
    <xf numFmtId="0" fontId="3" fillId="0" borderId="0" xfId="0" applyFont="1" applyBorder="1" applyAlignment="1">
      <alignment/>
    </xf>
    <xf numFmtId="0" fontId="4" fillId="0" borderId="10" xfId="0" applyNumberFormat="1" applyFont="1" applyBorder="1" applyAlignment="1">
      <alignment horizontal="center"/>
    </xf>
    <xf numFmtId="0" fontId="4" fillId="0" borderId="10" xfId="0" applyFont="1" applyBorder="1" applyAlignment="1">
      <alignment horizontal="left"/>
    </xf>
    <xf numFmtId="0" fontId="4" fillId="0" borderId="11" xfId="0" applyFont="1" applyBorder="1" applyAlignment="1">
      <alignment horizontal="center"/>
    </xf>
    <xf numFmtId="3" fontId="3" fillId="0" borderId="11" xfId="0" applyNumberFormat="1"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left" vertical="center" wrapText="1"/>
    </xf>
    <xf numFmtId="0" fontId="5" fillId="0" borderId="0" xfId="0" applyFont="1" applyBorder="1" applyAlignment="1">
      <alignment vertical="center"/>
    </xf>
    <xf numFmtId="0" fontId="3" fillId="0" borderId="0" xfId="0" applyFont="1" applyBorder="1" applyAlignment="1">
      <alignment vertical="center"/>
    </xf>
    <xf numFmtId="3" fontId="4" fillId="0" borderId="11" xfId="0" applyNumberFormat="1" applyFont="1" applyBorder="1" applyAlignment="1">
      <alignment/>
    </xf>
    <xf numFmtId="3" fontId="4" fillId="0" borderId="11" xfId="0" applyNumberFormat="1" applyFont="1" applyBorder="1" applyAlignment="1">
      <alignment vertical="center" wrapText="1"/>
    </xf>
    <xf numFmtId="3" fontId="4" fillId="0" borderId="10" xfId="0" applyNumberFormat="1" applyFont="1" applyBorder="1" applyAlignment="1">
      <alignment/>
    </xf>
    <xf numFmtId="3" fontId="3" fillId="0" borderId="11" xfId="0" applyNumberFormat="1" applyFont="1" applyBorder="1" applyAlignment="1">
      <alignment/>
    </xf>
    <xf numFmtId="4" fontId="4" fillId="0" borderId="10" xfId="0" applyNumberFormat="1" applyFont="1" applyBorder="1" applyAlignment="1">
      <alignment/>
    </xf>
    <xf numFmtId="4" fontId="4" fillId="0" borderId="11" xfId="0" applyNumberFormat="1" applyFont="1" applyBorder="1" applyAlignment="1">
      <alignment/>
    </xf>
    <xf numFmtId="4" fontId="3" fillId="0" borderId="11" xfId="0" applyNumberFormat="1" applyFont="1" applyBorder="1" applyAlignment="1">
      <alignment/>
    </xf>
    <xf numFmtId="0" fontId="9" fillId="0" borderId="0" xfId="0" applyNumberFormat="1" applyFont="1" applyAlignment="1">
      <alignment horizontal="centerContinuous" vertical="center" wrapText="1"/>
    </xf>
    <xf numFmtId="0" fontId="67" fillId="0" borderId="0" xfId="0" applyNumberFormat="1" applyFont="1" applyAlignment="1">
      <alignment horizontal="centerContinuous"/>
    </xf>
    <xf numFmtId="0" fontId="68" fillId="0" borderId="0" xfId="0" applyNumberFormat="1" applyFont="1" applyAlignment="1">
      <alignment horizontal="centerContinuous"/>
    </xf>
    <xf numFmtId="0" fontId="67" fillId="0" borderId="0" xfId="0" applyNumberFormat="1" applyFont="1" applyAlignment="1">
      <alignment/>
    </xf>
    <xf numFmtId="0" fontId="4" fillId="0" borderId="11" xfId="0" applyFont="1" applyBorder="1" applyAlignment="1">
      <alignment/>
    </xf>
    <xf numFmtId="0" fontId="3" fillId="0" borderId="11" xfId="0" applyFont="1" applyBorder="1" applyAlignment="1">
      <alignment horizontal="center"/>
    </xf>
    <xf numFmtId="0" fontId="3" fillId="0" borderId="11" xfId="0" applyFont="1" applyBorder="1" applyAlignment="1">
      <alignment/>
    </xf>
    <xf numFmtId="0" fontId="4" fillId="0" borderId="12" xfId="0" applyFont="1" applyBorder="1" applyAlignment="1">
      <alignment horizontal="center"/>
    </xf>
    <xf numFmtId="0" fontId="4" fillId="0" borderId="12" xfId="0" applyFont="1" applyBorder="1" applyAlignment="1">
      <alignment/>
    </xf>
    <xf numFmtId="0" fontId="4" fillId="0" borderId="0" xfId="0" applyFont="1" applyAlignment="1">
      <alignment vertical="center" wrapText="1"/>
    </xf>
    <xf numFmtId="3" fontId="4" fillId="0" borderId="12" xfId="0" applyNumberFormat="1" applyFont="1" applyBorder="1" applyAlignment="1">
      <alignment vertical="center" wrapText="1"/>
    </xf>
    <xf numFmtId="3" fontId="4" fillId="0" borderId="12" xfId="0" applyNumberFormat="1" applyFont="1" applyFill="1" applyBorder="1" applyAlignment="1">
      <alignment vertical="center" wrapText="1"/>
    </xf>
    <xf numFmtId="3" fontId="4" fillId="0" borderId="12" xfId="0" applyNumberFormat="1" applyFont="1" applyBorder="1" applyAlignment="1">
      <alignment/>
    </xf>
    <xf numFmtId="0" fontId="6" fillId="0" borderId="0" xfId="0" applyFont="1" applyBorder="1" applyAlignment="1">
      <alignment horizontal="right"/>
    </xf>
    <xf numFmtId="0" fontId="5" fillId="0" borderId="0" xfId="0" applyFont="1" applyAlignment="1">
      <alignment horizontal="center" vertical="center"/>
    </xf>
    <xf numFmtId="0" fontId="69" fillId="0" borderId="0" xfId="0" applyFont="1" applyAlignment="1">
      <alignment horizontal="right"/>
    </xf>
    <xf numFmtId="0" fontId="14" fillId="0" borderId="0" xfId="60" applyFont="1" applyFill="1">
      <alignment/>
      <protection/>
    </xf>
    <xf numFmtId="38" fontId="14" fillId="0" borderId="0" xfId="45" applyNumberFormat="1" applyFont="1" applyFill="1" applyAlignment="1">
      <alignment/>
    </xf>
    <xf numFmtId="0" fontId="14" fillId="0" borderId="0" xfId="60" applyFont="1" applyFill="1" applyAlignment="1">
      <alignment horizontal="right"/>
      <protection/>
    </xf>
    <xf numFmtId="0" fontId="11" fillId="0" borderId="0" xfId="60" applyFont="1" applyFill="1" applyAlignment="1">
      <alignment/>
      <protection/>
    </xf>
    <xf numFmtId="0" fontId="14" fillId="0" borderId="0" xfId="60" applyFont="1" applyFill="1" applyAlignment="1">
      <alignment horizontal="center"/>
      <protection/>
    </xf>
    <xf numFmtId="0" fontId="14" fillId="0" borderId="0" xfId="60" applyFont="1" applyFill="1" applyAlignment="1">
      <alignment/>
      <protection/>
    </xf>
    <xf numFmtId="3" fontId="14" fillId="0" borderId="0" xfId="60" applyNumberFormat="1" applyFont="1" applyFill="1">
      <alignment/>
      <protection/>
    </xf>
    <xf numFmtId="0" fontId="14" fillId="0" borderId="13" xfId="60" applyFont="1" applyFill="1" applyBorder="1" applyAlignment="1" quotePrefix="1">
      <alignment horizontal="center"/>
      <protection/>
    </xf>
    <xf numFmtId="38" fontId="14" fillId="0" borderId="13" xfId="45" applyNumberFormat="1" applyFont="1" applyFill="1" applyBorder="1" applyAlignment="1" quotePrefix="1">
      <alignment horizontal="center"/>
    </xf>
    <xf numFmtId="0" fontId="14" fillId="0" borderId="13" xfId="60" applyFont="1" applyFill="1" applyBorder="1" applyAlignment="1" quotePrefix="1">
      <alignment horizontal="centerContinuous"/>
      <protection/>
    </xf>
    <xf numFmtId="0" fontId="13" fillId="0" borderId="10" xfId="60" applyFont="1" applyFill="1" applyBorder="1" applyAlignment="1">
      <alignment horizontal="center"/>
      <protection/>
    </xf>
    <xf numFmtId="0" fontId="13" fillId="0" borderId="10" xfId="60" applyFont="1" applyFill="1" applyBorder="1">
      <alignment/>
      <protection/>
    </xf>
    <xf numFmtId="2" fontId="13" fillId="0" borderId="14" xfId="60" applyNumberFormat="1" applyFont="1" applyFill="1" applyBorder="1" applyAlignment="1">
      <alignment horizontal="right"/>
      <protection/>
    </xf>
    <xf numFmtId="4" fontId="13" fillId="0" borderId="14" xfId="44" applyNumberFormat="1" applyFont="1" applyFill="1" applyBorder="1" applyAlignment="1">
      <alignment/>
    </xf>
    <xf numFmtId="0" fontId="13" fillId="0" borderId="11" xfId="60" applyFont="1" applyFill="1" applyBorder="1" applyAlignment="1">
      <alignment horizontal="center"/>
      <protection/>
    </xf>
    <xf numFmtId="0" fontId="13" fillId="0" borderId="11" xfId="60" applyFont="1" applyFill="1" applyBorder="1">
      <alignment/>
      <protection/>
    </xf>
    <xf numFmtId="38" fontId="14" fillId="0" borderId="0" xfId="60" applyNumberFormat="1" applyFont="1" applyFill="1">
      <alignment/>
      <protection/>
    </xf>
    <xf numFmtId="0" fontId="14" fillId="0" borderId="11" xfId="60" applyFont="1" applyFill="1" applyBorder="1" applyAlignment="1">
      <alignment horizontal="center"/>
      <protection/>
    </xf>
    <xf numFmtId="0" fontId="14" fillId="0" borderId="11" xfId="60" applyFont="1" applyFill="1" applyBorder="1">
      <alignment/>
      <protection/>
    </xf>
    <xf numFmtId="0" fontId="14" fillId="0" borderId="15" xfId="60" applyFont="1" applyFill="1" applyBorder="1">
      <alignment/>
      <protection/>
    </xf>
    <xf numFmtId="3" fontId="14" fillId="0" borderId="11" xfId="44" applyNumberFormat="1" applyFont="1" applyFill="1" applyBorder="1" applyAlignment="1">
      <alignment/>
    </xf>
    <xf numFmtId="40" fontId="14" fillId="0" borderId="0" xfId="45" applyFont="1" applyFill="1" applyAlignment="1">
      <alignment/>
    </xf>
    <xf numFmtId="0" fontId="14" fillId="0" borderId="14" xfId="60" applyFont="1" applyFill="1" applyBorder="1">
      <alignment/>
      <protection/>
    </xf>
    <xf numFmtId="3" fontId="15" fillId="0" borderId="14" xfId="44" applyNumberFormat="1" applyFont="1" applyFill="1" applyBorder="1" applyAlignment="1">
      <alignment/>
    </xf>
    <xf numFmtId="2" fontId="15" fillId="0" borderId="14" xfId="60" applyNumberFormat="1" applyFont="1" applyFill="1" applyBorder="1" applyAlignment="1">
      <alignment horizontal="right"/>
      <protection/>
    </xf>
    <xf numFmtId="4" fontId="15" fillId="0" borderId="14" xfId="44" applyNumberFormat="1" applyFont="1" applyFill="1" applyBorder="1" applyAlignment="1">
      <alignment/>
    </xf>
    <xf numFmtId="2" fontId="14" fillId="0" borderId="14" xfId="60" applyNumberFormat="1" applyFont="1" applyFill="1" applyBorder="1" applyAlignment="1">
      <alignment horizontal="right"/>
      <protection/>
    </xf>
    <xf numFmtId="4" fontId="14" fillId="0" borderId="14" xfId="44" applyNumberFormat="1" applyFont="1" applyFill="1" applyBorder="1" applyAlignment="1">
      <alignment/>
    </xf>
    <xf numFmtId="3" fontId="15" fillId="0" borderId="11" xfId="44" applyNumberFormat="1" applyFont="1" applyFill="1" applyBorder="1" applyAlignment="1">
      <alignment/>
    </xf>
    <xf numFmtId="0" fontId="13" fillId="0" borderId="12" xfId="60" applyFont="1" applyFill="1" applyBorder="1" applyAlignment="1">
      <alignment horizontal="center"/>
      <protection/>
    </xf>
    <xf numFmtId="0" fontId="13" fillId="0" borderId="12" xfId="60" applyFont="1" applyFill="1" applyBorder="1">
      <alignment/>
      <protection/>
    </xf>
    <xf numFmtId="3" fontId="13" fillId="0" borderId="16" xfId="60" applyNumberFormat="1" applyFont="1" applyFill="1" applyBorder="1">
      <alignment/>
      <protection/>
    </xf>
    <xf numFmtId="0" fontId="13" fillId="0" borderId="16" xfId="60" applyFont="1" applyFill="1" applyBorder="1">
      <alignment/>
      <protection/>
    </xf>
    <xf numFmtId="4" fontId="13" fillId="0" borderId="16" xfId="44" applyNumberFormat="1" applyFont="1" applyFill="1" applyBorder="1" applyAlignment="1">
      <alignment/>
    </xf>
    <xf numFmtId="0" fontId="13" fillId="0" borderId="17" xfId="60" applyFont="1" applyFill="1" applyBorder="1" applyAlignment="1">
      <alignment horizontal="center"/>
      <protection/>
    </xf>
    <xf numFmtId="0" fontId="13" fillId="0" borderId="17" xfId="60" applyFont="1" applyFill="1" applyBorder="1">
      <alignment/>
      <protection/>
    </xf>
    <xf numFmtId="38" fontId="13" fillId="0" borderId="18" xfId="45" applyNumberFormat="1" applyFont="1" applyFill="1" applyBorder="1" applyAlignment="1">
      <alignment/>
    </xf>
    <xf numFmtId="0" fontId="13" fillId="0" borderId="18" xfId="60" applyFont="1" applyFill="1" applyBorder="1">
      <alignment/>
      <protection/>
    </xf>
    <xf numFmtId="0" fontId="13" fillId="0" borderId="13" xfId="60" applyFont="1" applyFill="1" applyBorder="1" applyAlignment="1">
      <alignment horizontal="center" wrapText="1"/>
      <protection/>
    </xf>
    <xf numFmtId="3" fontId="13" fillId="0" borderId="19" xfId="45" applyNumberFormat="1" applyFont="1" applyFill="1" applyBorder="1" applyAlignment="1">
      <alignment/>
    </xf>
    <xf numFmtId="3" fontId="13" fillId="0" borderId="15" xfId="45" applyNumberFormat="1" applyFont="1" applyFill="1" applyBorder="1" applyAlignment="1">
      <alignment/>
    </xf>
    <xf numFmtId="3" fontId="13" fillId="0" borderId="14" xfId="45" applyNumberFormat="1" applyFont="1" applyFill="1" applyBorder="1" applyAlignment="1">
      <alignment horizontal="right"/>
    </xf>
    <xf numFmtId="3" fontId="14" fillId="0" borderId="15" xfId="45" applyNumberFormat="1" applyFont="1" applyFill="1" applyBorder="1" applyAlignment="1">
      <alignment/>
    </xf>
    <xf numFmtId="3" fontId="14" fillId="0" borderId="14" xfId="45" applyNumberFormat="1" applyFont="1" applyFill="1" applyBorder="1" applyAlignment="1">
      <alignment/>
    </xf>
    <xf numFmtId="3" fontId="15" fillId="0" borderId="14" xfId="45" applyNumberFormat="1" applyFont="1" applyFill="1" applyBorder="1" applyAlignment="1">
      <alignment/>
    </xf>
    <xf numFmtId="3" fontId="13" fillId="0" borderId="14" xfId="45" applyNumberFormat="1" applyFont="1" applyFill="1" applyBorder="1" applyAlignment="1">
      <alignment/>
    </xf>
    <xf numFmtId="3" fontId="13" fillId="0" borderId="16" xfId="45" applyNumberFormat="1" applyFont="1" applyFill="1" applyBorder="1" applyAlignment="1">
      <alignment/>
    </xf>
    <xf numFmtId="3" fontId="15" fillId="0" borderId="15" xfId="45" applyNumberFormat="1" applyFont="1" applyFill="1" applyBorder="1" applyAlignment="1">
      <alignment/>
    </xf>
    <xf numFmtId="3" fontId="16" fillId="0" borderId="15" xfId="45" applyNumberFormat="1" applyFont="1" applyFill="1" applyBorder="1" applyAlignment="1">
      <alignment/>
    </xf>
    <xf numFmtId="3" fontId="16" fillId="0" borderId="14" xfId="45" applyNumberFormat="1" applyFont="1" applyFill="1" applyBorder="1" applyAlignment="1">
      <alignment/>
    </xf>
    <xf numFmtId="3" fontId="14" fillId="0" borderId="15" xfId="45" applyNumberFormat="1" applyFont="1" applyFill="1" applyBorder="1" applyAlignment="1" quotePrefix="1">
      <alignment/>
    </xf>
    <xf numFmtId="0" fontId="14" fillId="0" borderId="0" xfId="60" applyFont="1">
      <alignment/>
      <protection/>
    </xf>
    <xf numFmtId="0" fontId="3" fillId="0" borderId="0" xfId="60" applyFont="1">
      <alignment/>
      <protection/>
    </xf>
    <xf numFmtId="0" fontId="3" fillId="0" borderId="0" xfId="60" applyFont="1" applyAlignment="1">
      <alignment horizontal="center"/>
      <protection/>
    </xf>
    <xf numFmtId="0" fontId="17" fillId="0" borderId="0" xfId="60" applyFont="1">
      <alignment/>
      <protection/>
    </xf>
    <xf numFmtId="0" fontId="18" fillId="0" borderId="0" xfId="60" applyFont="1">
      <alignment/>
      <protection/>
    </xf>
    <xf numFmtId="0" fontId="3" fillId="0" borderId="0" xfId="60" applyFont="1" applyAlignment="1">
      <alignment/>
      <protection/>
    </xf>
    <xf numFmtId="0" fontId="20" fillId="0" borderId="0" xfId="0" applyFont="1" applyAlignment="1">
      <alignment vertical="center"/>
    </xf>
    <xf numFmtId="4" fontId="5" fillId="0" borderId="11" xfId="0" applyNumberFormat="1" applyFont="1" applyBorder="1" applyAlignment="1">
      <alignment/>
    </xf>
    <xf numFmtId="0" fontId="19" fillId="33" borderId="17" xfId="0" applyFont="1" applyFill="1" applyBorder="1" applyAlignment="1">
      <alignment horizontal="center" vertical="top" wrapText="1"/>
    </xf>
    <xf numFmtId="0" fontId="19" fillId="33" borderId="17" xfId="0" applyFont="1" applyFill="1" applyBorder="1" applyAlignment="1">
      <alignment vertical="top" wrapText="1"/>
    </xf>
    <xf numFmtId="3" fontId="19" fillId="33" borderId="17" xfId="0" applyNumberFormat="1" applyFont="1" applyFill="1" applyBorder="1" applyAlignment="1">
      <alignment vertical="top" wrapText="1"/>
    </xf>
    <xf numFmtId="4" fontId="20" fillId="33" borderId="17" xfId="0" applyNumberFormat="1" applyFont="1" applyFill="1" applyBorder="1" applyAlignment="1">
      <alignment vertical="top" wrapText="1"/>
    </xf>
    <xf numFmtId="0" fontId="19" fillId="33" borderId="10" xfId="0" applyFont="1" applyFill="1" applyBorder="1" applyAlignment="1">
      <alignment horizontal="center" vertical="top" wrapText="1"/>
    </xf>
    <xf numFmtId="0" fontId="19" fillId="33" borderId="10" xfId="0" applyFont="1" applyFill="1" applyBorder="1" applyAlignment="1">
      <alignment vertical="top" wrapText="1"/>
    </xf>
    <xf numFmtId="3" fontId="19" fillId="33" borderId="10" xfId="0" applyNumberFormat="1" applyFont="1" applyFill="1" applyBorder="1" applyAlignment="1">
      <alignment vertical="top" wrapText="1"/>
    </xf>
    <xf numFmtId="0" fontId="19" fillId="33" borderId="11" xfId="0" applyFont="1" applyFill="1" applyBorder="1" applyAlignment="1">
      <alignment horizontal="center" vertical="top" wrapText="1"/>
    </xf>
    <xf numFmtId="0" fontId="19" fillId="33" borderId="11" xfId="0" applyFont="1" applyFill="1" applyBorder="1" applyAlignment="1">
      <alignment vertical="top" wrapText="1"/>
    </xf>
    <xf numFmtId="3" fontId="19" fillId="33" borderId="11" xfId="0" applyNumberFormat="1" applyFont="1" applyFill="1" applyBorder="1" applyAlignment="1">
      <alignment vertical="top" wrapText="1"/>
    </xf>
    <xf numFmtId="0" fontId="20" fillId="33" borderId="11" xfId="0" applyFont="1" applyFill="1" applyBorder="1" applyAlignment="1">
      <alignment horizontal="center" vertical="top" wrapText="1"/>
    </xf>
    <xf numFmtId="0" fontId="20" fillId="33" borderId="11" xfId="0" applyFont="1" applyFill="1" applyBorder="1" applyAlignment="1">
      <alignment vertical="top" wrapText="1"/>
    </xf>
    <xf numFmtId="3" fontId="20" fillId="33" borderId="11" xfId="0" applyNumberFormat="1" applyFont="1" applyFill="1" applyBorder="1" applyAlignment="1">
      <alignment vertical="top" wrapText="1"/>
    </xf>
    <xf numFmtId="0" fontId="21" fillId="33" borderId="11" xfId="0" applyFont="1" applyFill="1" applyBorder="1" applyAlignment="1">
      <alignment vertical="top" wrapText="1"/>
    </xf>
    <xf numFmtId="4" fontId="20" fillId="33" borderId="11" xfId="0" applyNumberFormat="1" applyFont="1" applyFill="1" applyBorder="1" applyAlignment="1">
      <alignment vertical="top" wrapText="1"/>
    </xf>
    <xf numFmtId="3" fontId="21" fillId="33" borderId="11" xfId="0" applyNumberFormat="1" applyFont="1" applyFill="1" applyBorder="1" applyAlignment="1">
      <alignment vertical="top" wrapText="1"/>
    </xf>
    <xf numFmtId="4" fontId="21" fillId="33" borderId="11" xfId="0" applyNumberFormat="1" applyFont="1" applyFill="1" applyBorder="1" applyAlignment="1">
      <alignment vertical="top" wrapText="1"/>
    </xf>
    <xf numFmtId="0" fontId="3" fillId="0" borderId="0" xfId="0" applyFont="1" applyAlignment="1">
      <alignment/>
    </xf>
    <xf numFmtId="0" fontId="3" fillId="0" borderId="0" xfId="0" applyFont="1" applyBorder="1" applyAlignment="1">
      <alignment/>
    </xf>
    <xf numFmtId="3" fontId="3" fillId="0" borderId="0" xfId="0" applyNumberFormat="1" applyFont="1" applyAlignment="1">
      <alignment/>
    </xf>
    <xf numFmtId="0" fontId="3" fillId="0" borderId="0" xfId="0" applyFont="1" applyAlignment="1">
      <alignment horizontal="left"/>
    </xf>
    <xf numFmtId="0" fontId="20" fillId="0" borderId="0" xfId="61" applyFont="1" applyAlignment="1">
      <alignment vertical="center"/>
      <protection/>
    </xf>
    <xf numFmtId="0" fontId="19" fillId="33" borderId="13" xfId="61" applyFont="1" applyFill="1" applyBorder="1" applyAlignment="1">
      <alignment horizontal="center" vertical="center" wrapText="1"/>
      <protection/>
    </xf>
    <xf numFmtId="0" fontId="20" fillId="33" borderId="13" xfId="61" applyFont="1" applyFill="1" applyBorder="1" applyAlignment="1">
      <alignment horizontal="center" vertical="center" wrapText="1"/>
      <protection/>
    </xf>
    <xf numFmtId="0" fontId="20" fillId="33" borderId="13" xfId="61" applyFont="1" applyFill="1" applyBorder="1" applyAlignment="1">
      <alignment vertical="center" wrapText="1"/>
      <protection/>
    </xf>
    <xf numFmtId="0" fontId="22" fillId="0" borderId="0" xfId="61" applyFont="1" applyAlignment="1">
      <alignment vertical="center"/>
      <protection/>
    </xf>
    <xf numFmtId="0" fontId="19" fillId="33" borderId="11" xfId="61" applyFont="1" applyFill="1" applyBorder="1" applyAlignment="1">
      <alignment horizontal="center" vertical="top" wrapText="1"/>
      <protection/>
    </xf>
    <xf numFmtId="0" fontId="19" fillId="33" borderId="11" xfId="61" applyFont="1" applyFill="1" applyBorder="1" applyAlignment="1">
      <alignment vertical="top" wrapText="1"/>
      <protection/>
    </xf>
    <xf numFmtId="3" fontId="20" fillId="33" borderId="11" xfId="61" applyNumberFormat="1" applyFont="1" applyFill="1" applyBorder="1" applyAlignment="1">
      <alignment vertical="top" wrapText="1"/>
      <protection/>
    </xf>
    <xf numFmtId="4" fontId="20" fillId="33" borderId="11" xfId="61" applyNumberFormat="1" applyFont="1" applyFill="1" applyBorder="1" applyAlignment="1">
      <alignment vertical="top" wrapText="1"/>
      <protection/>
    </xf>
    <xf numFmtId="3" fontId="19" fillId="33" borderId="11" xfId="61" applyNumberFormat="1" applyFont="1" applyFill="1" applyBorder="1" applyAlignment="1">
      <alignment vertical="top" wrapText="1"/>
      <protection/>
    </xf>
    <xf numFmtId="0" fontId="20" fillId="33" borderId="11" xfId="61" applyFont="1" applyFill="1" applyBorder="1" applyAlignment="1">
      <alignment horizontal="center" vertical="top" wrapText="1"/>
      <protection/>
    </xf>
    <xf numFmtId="0" fontId="20" fillId="33" borderId="11" xfId="61" applyFont="1" applyFill="1" applyBorder="1" applyAlignment="1">
      <alignment vertical="top" wrapText="1"/>
      <protection/>
    </xf>
    <xf numFmtId="0" fontId="20" fillId="33" borderId="12" xfId="61" applyFont="1" applyFill="1" applyBorder="1" applyAlignment="1">
      <alignment horizontal="center" vertical="top" wrapText="1"/>
      <protection/>
    </xf>
    <xf numFmtId="0" fontId="20" fillId="33" borderId="12" xfId="61" applyFont="1" applyFill="1" applyBorder="1" applyAlignment="1">
      <alignment vertical="top" wrapText="1"/>
      <protection/>
    </xf>
    <xf numFmtId="3" fontId="20" fillId="33" borderId="12" xfId="61" applyNumberFormat="1" applyFont="1" applyFill="1" applyBorder="1" applyAlignment="1">
      <alignment vertical="top" wrapText="1"/>
      <protection/>
    </xf>
    <xf numFmtId="4" fontId="20" fillId="33" borderId="12" xfId="61" applyNumberFormat="1" applyFont="1" applyFill="1" applyBorder="1" applyAlignment="1">
      <alignment vertical="top" wrapText="1"/>
      <protection/>
    </xf>
    <xf numFmtId="0" fontId="19" fillId="33" borderId="20" xfId="61" applyFont="1" applyFill="1" applyBorder="1" applyAlignment="1">
      <alignment horizontal="center" vertical="top" wrapText="1"/>
      <protection/>
    </xf>
    <xf numFmtId="0" fontId="19" fillId="33" borderId="20" xfId="61" applyFont="1" applyFill="1" applyBorder="1" applyAlignment="1">
      <alignment vertical="top" wrapText="1"/>
      <protection/>
    </xf>
    <xf numFmtId="3" fontId="20" fillId="33" borderId="20" xfId="61" applyNumberFormat="1" applyFont="1" applyFill="1" applyBorder="1" applyAlignment="1">
      <alignment vertical="top" wrapText="1"/>
      <protection/>
    </xf>
    <xf numFmtId="4" fontId="20" fillId="33" borderId="20" xfId="61" applyNumberFormat="1" applyFont="1" applyFill="1" applyBorder="1" applyAlignment="1">
      <alignment vertical="top" wrapText="1"/>
      <protection/>
    </xf>
    <xf numFmtId="0" fontId="19" fillId="33" borderId="21" xfId="61" applyFont="1" applyFill="1" applyBorder="1" applyAlignment="1">
      <alignment horizontal="center" vertical="top" wrapText="1"/>
      <protection/>
    </xf>
    <xf numFmtId="0" fontId="20" fillId="0" borderId="0" xfId="61" applyFont="1" applyAlignment="1">
      <alignment vertical="center" wrapText="1"/>
      <protection/>
    </xf>
    <xf numFmtId="0" fontId="21" fillId="0" borderId="0" xfId="61" applyFont="1" applyAlignment="1">
      <alignment vertical="center"/>
      <protection/>
    </xf>
    <xf numFmtId="0" fontId="20" fillId="0" borderId="0" xfId="61" applyFont="1" applyAlignment="1">
      <alignment horizontal="right" vertical="center"/>
      <protection/>
    </xf>
    <xf numFmtId="0" fontId="19" fillId="0" borderId="0" xfId="61" applyFont="1" applyAlignment="1">
      <alignment horizontal="right" vertical="center"/>
      <protection/>
    </xf>
    <xf numFmtId="0" fontId="20" fillId="33" borderId="17" xfId="61" applyFont="1" applyFill="1" applyBorder="1" applyAlignment="1">
      <alignment horizontal="center" vertical="center" wrapText="1"/>
      <protection/>
    </xf>
    <xf numFmtId="0" fontId="20" fillId="33" borderId="17" xfId="61" applyFont="1" applyFill="1" applyBorder="1" applyAlignment="1">
      <alignment vertical="center" wrapText="1"/>
      <protection/>
    </xf>
    <xf numFmtId="0" fontId="20" fillId="33" borderId="10" xfId="61" applyFont="1" applyFill="1" applyBorder="1" applyAlignment="1">
      <alignment horizontal="center" vertical="center" wrapText="1"/>
      <protection/>
    </xf>
    <xf numFmtId="0" fontId="19" fillId="33" borderId="10" xfId="61" applyFont="1" applyFill="1" applyBorder="1" applyAlignment="1">
      <alignment vertical="center" wrapText="1"/>
      <protection/>
    </xf>
    <xf numFmtId="0" fontId="20" fillId="33" borderId="11" xfId="61" applyFont="1" applyFill="1" applyBorder="1" applyAlignment="1">
      <alignment horizontal="center" vertical="center" wrapText="1"/>
      <protection/>
    </xf>
    <xf numFmtId="0" fontId="20" fillId="33" borderId="11" xfId="61" applyFont="1" applyFill="1" applyBorder="1" applyAlignment="1">
      <alignment vertical="center" wrapText="1"/>
      <protection/>
    </xf>
    <xf numFmtId="0" fontId="70" fillId="0" borderId="13" xfId="61" applyFont="1" applyBorder="1" applyAlignment="1">
      <alignment horizontal="center" vertical="center" wrapText="1"/>
      <protection/>
    </xf>
    <xf numFmtId="0" fontId="71" fillId="0" borderId="0" xfId="61" applyFont="1">
      <alignment/>
      <protection/>
    </xf>
    <xf numFmtId="0" fontId="70" fillId="0" borderId="0" xfId="61" applyFont="1" applyAlignment="1">
      <alignment horizontal="right" vertical="center"/>
      <protection/>
    </xf>
    <xf numFmtId="3" fontId="72" fillId="0" borderId="10" xfId="61" applyNumberFormat="1" applyFont="1" applyBorder="1" applyAlignment="1">
      <alignment vertical="top" wrapText="1"/>
      <protection/>
    </xf>
    <xf numFmtId="0" fontId="72" fillId="0" borderId="0" xfId="61" applyFont="1" applyAlignment="1">
      <alignment horizontal="right" vertical="center"/>
      <protection/>
    </xf>
    <xf numFmtId="0" fontId="73" fillId="0" borderId="13" xfId="61" applyFont="1" applyBorder="1" applyAlignment="1">
      <alignment horizontal="center" vertical="top" wrapText="1"/>
      <protection/>
    </xf>
    <xf numFmtId="0" fontId="72" fillId="0" borderId="0" xfId="61" applyFont="1" applyAlignment="1">
      <alignment horizontal="right" vertical="center"/>
      <protection/>
    </xf>
    <xf numFmtId="0" fontId="73" fillId="0" borderId="10" xfId="61" applyFont="1" applyBorder="1" applyAlignment="1">
      <alignment horizontal="center" vertical="top" wrapText="1"/>
      <protection/>
    </xf>
    <xf numFmtId="0" fontId="73" fillId="0" borderId="10" xfId="61" applyFont="1" applyBorder="1" applyAlignment="1">
      <alignment vertical="top" wrapText="1"/>
      <protection/>
    </xf>
    <xf numFmtId="3" fontId="73" fillId="0" borderId="10" xfId="61" applyNumberFormat="1" applyFont="1" applyBorder="1" applyAlignment="1">
      <alignment vertical="top" wrapText="1"/>
      <protection/>
    </xf>
    <xf numFmtId="4" fontId="73" fillId="0" borderId="10" xfId="61" applyNumberFormat="1" applyFont="1" applyBorder="1" applyAlignment="1">
      <alignment vertical="top" wrapText="1"/>
      <protection/>
    </xf>
    <xf numFmtId="0" fontId="73" fillId="0" borderId="11" xfId="61" applyFont="1" applyBorder="1" applyAlignment="1">
      <alignment horizontal="center" vertical="top" wrapText="1"/>
      <protection/>
    </xf>
    <xf numFmtId="0" fontId="73" fillId="0" borderId="11" xfId="61" applyFont="1" applyBorder="1" applyAlignment="1">
      <alignment vertical="top"/>
      <protection/>
    </xf>
    <xf numFmtId="3" fontId="73" fillId="0" borderId="11" xfId="61" applyNumberFormat="1" applyFont="1" applyBorder="1" applyAlignment="1">
      <alignment vertical="top" wrapText="1"/>
      <protection/>
    </xf>
    <xf numFmtId="4" fontId="73" fillId="0" borderId="11" xfId="61" applyNumberFormat="1" applyFont="1" applyBorder="1" applyAlignment="1">
      <alignment vertical="top" wrapText="1"/>
      <protection/>
    </xf>
    <xf numFmtId="0" fontId="73" fillId="0" borderId="11" xfId="61" applyFont="1" applyBorder="1" applyAlignment="1">
      <alignment vertical="top" wrapText="1"/>
      <protection/>
    </xf>
    <xf numFmtId="0" fontId="74" fillId="0" borderId="11" xfId="61" applyFont="1" applyBorder="1" applyAlignment="1">
      <alignment horizontal="center" vertical="top" wrapText="1"/>
      <protection/>
    </xf>
    <xf numFmtId="0" fontId="74" fillId="0" borderId="11" xfId="61" applyFont="1" applyBorder="1" applyAlignment="1">
      <alignment vertical="top" wrapText="1"/>
      <protection/>
    </xf>
    <xf numFmtId="3" fontId="74" fillId="0" borderId="11" xfId="61" applyNumberFormat="1" applyFont="1" applyBorder="1" applyAlignment="1">
      <alignment vertical="top" wrapText="1"/>
      <protection/>
    </xf>
    <xf numFmtId="4" fontId="74" fillId="0" borderId="11" xfId="61" applyNumberFormat="1" applyFont="1" applyBorder="1" applyAlignment="1">
      <alignment vertical="top" wrapText="1"/>
      <protection/>
    </xf>
    <xf numFmtId="0" fontId="73" fillId="0" borderId="12" xfId="61" applyFont="1" applyBorder="1" applyAlignment="1">
      <alignment horizontal="center" vertical="top" wrapText="1"/>
      <protection/>
    </xf>
    <xf numFmtId="0" fontId="73" fillId="0" borderId="12" xfId="61" applyFont="1" applyBorder="1" applyAlignment="1">
      <alignment vertical="top" wrapText="1"/>
      <protection/>
    </xf>
    <xf numFmtId="3" fontId="74" fillId="0" borderId="12" xfId="61" applyNumberFormat="1" applyFont="1" applyBorder="1" applyAlignment="1">
      <alignment vertical="top" wrapText="1"/>
      <protection/>
    </xf>
    <xf numFmtId="3" fontId="73" fillId="0" borderId="12" xfId="61" applyNumberFormat="1" applyFont="1" applyBorder="1" applyAlignment="1">
      <alignment vertical="top" wrapText="1"/>
      <protection/>
    </xf>
    <xf numFmtId="4" fontId="73" fillId="0" borderId="12" xfId="61" applyNumberFormat="1" applyFont="1" applyBorder="1" applyAlignment="1">
      <alignment vertical="top" wrapText="1"/>
      <protection/>
    </xf>
    <xf numFmtId="0" fontId="75" fillId="0" borderId="0" xfId="61" applyFont="1">
      <alignment/>
      <protection/>
    </xf>
    <xf numFmtId="0" fontId="76" fillId="0" borderId="0" xfId="61" applyFont="1" applyAlignment="1">
      <alignment horizontal="right" vertical="center"/>
      <protection/>
    </xf>
    <xf numFmtId="0" fontId="70" fillId="0" borderId="0" xfId="61" applyFont="1" applyAlignment="1">
      <alignment vertical="center"/>
      <protection/>
    </xf>
    <xf numFmtId="0" fontId="70" fillId="0" borderId="13" xfId="61" applyFont="1" applyBorder="1" applyAlignment="1" quotePrefix="1">
      <alignment horizontal="center" vertical="top" wrapText="1"/>
      <protection/>
    </xf>
    <xf numFmtId="0" fontId="72" fillId="0" borderId="0" xfId="61" applyFont="1" applyAlignment="1">
      <alignment horizontal="right" vertical="center"/>
      <protection/>
    </xf>
    <xf numFmtId="0" fontId="72" fillId="0" borderId="17" xfId="61" applyFont="1" applyBorder="1" applyAlignment="1">
      <alignment horizontal="center" vertical="top" wrapText="1"/>
      <protection/>
    </xf>
    <xf numFmtId="0" fontId="72" fillId="0" borderId="17" xfId="61" applyFont="1" applyBorder="1" applyAlignment="1">
      <alignment vertical="top" wrapText="1"/>
      <protection/>
    </xf>
    <xf numFmtId="3" fontId="72" fillId="0" borderId="17" xfId="61" applyNumberFormat="1" applyFont="1" applyBorder="1" applyAlignment="1">
      <alignment vertical="top" wrapText="1"/>
      <protection/>
    </xf>
    <xf numFmtId="0" fontId="72" fillId="0" borderId="10" xfId="61" applyFont="1" applyBorder="1" applyAlignment="1">
      <alignment vertical="top" wrapText="1"/>
      <protection/>
    </xf>
    <xf numFmtId="0" fontId="70" fillId="0" borderId="11" xfId="61" applyFont="1" applyBorder="1" applyAlignment="1">
      <alignment horizontal="center" vertical="top" wrapText="1"/>
      <protection/>
    </xf>
    <xf numFmtId="0" fontId="70" fillId="0" borderId="11" xfId="61" applyFont="1" applyBorder="1" applyAlignment="1">
      <alignment vertical="top" wrapText="1"/>
      <protection/>
    </xf>
    <xf numFmtId="0" fontId="76" fillId="0" borderId="13" xfId="61" applyFont="1" applyBorder="1" applyAlignment="1" quotePrefix="1">
      <alignment horizontal="center" vertical="top" wrapText="1"/>
      <protection/>
    </xf>
    <xf numFmtId="4" fontId="20" fillId="33" borderId="17" xfId="61" applyNumberFormat="1" applyFont="1" applyFill="1" applyBorder="1" applyAlignment="1">
      <alignment vertical="center" wrapText="1"/>
      <protection/>
    </xf>
    <xf numFmtId="4" fontId="19" fillId="33" borderId="10" xfId="61" applyNumberFormat="1" applyFont="1" applyFill="1" applyBorder="1" applyAlignment="1">
      <alignment vertical="center" wrapText="1"/>
      <protection/>
    </xf>
    <xf numFmtId="4" fontId="20" fillId="33" borderId="11" xfId="61" applyNumberFormat="1" applyFont="1" applyFill="1" applyBorder="1" applyAlignment="1">
      <alignment vertical="center" wrapText="1"/>
      <protection/>
    </xf>
    <xf numFmtId="0" fontId="19" fillId="33" borderId="13" xfId="61" applyFont="1" applyFill="1" applyBorder="1" applyAlignment="1">
      <alignment horizontal="center" vertical="center" wrapText="1"/>
      <protection/>
    </xf>
    <xf numFmtId="0" fontId="70" fillId="0" borderId="13" xfId="61" applyFont="1" applyBorder="1" applyAlignment="1">
      <alignment horizontal="center" vertical="top" wrapText="1"/>
      <protection/>
    </xf>
    <xf numFmtId="0" fontId="73" fillId="0" borderId="13" xfId="61" applyFont="1" applyBorder="1" applyAlignment="1">
      <alignment horizontal="center" vertical="top" wrapText="1"/>
      <protection/>
    </xf>
    <xf numFmtId="0" fontId="70" fillId="0" borderId="13" xfId="61" applyFont="1" applyBorder="1" applyAlignment="1" quotePrefix="1">
      <alignment horizontal="center" vertical="center" wrapText="1"/>
      <protection/>
    </xf>
    <xf numFmtId="0" fontId="20" fillId="33" borderId="13" xfId="61" applyFont="1" applyFill="1" applyBorder="1" applyAlignment="1" quotePrefix="1">
      <alignment horizontal="center" vertical="center" wrapText="1"/>
      <protection/>
    </xf>
    <xf numFmtId="3" fontId="70" fillId="0" borderId="10" xfId="61" applyNumberFormat="1" applyFont="1" applyBorder="1" applyAlignment="1">
      <alignment vertical="top" wrapText="1"/>
      <protection/>
    </xf>
    <xf numFmtId="3" fontId="70" fillId="0" borderId="11" xfId="61" applyNumberFormat="1" applyFont="1" applyBorder="1" applyAlignment="1">
      <alignment horizontal="center" vertical="top" wrapText="1"/>
      <protection/>
    </xf>
    <xf numFmtId="3" fontId="70" fillId="0" borderId="17" xfId="61" applyNumberFormat="1" applyFont="1" applyBorder="1" applyAlignment="1">
      <alignment horizontal="center" vertical="top" wrapText="1"/>
      <protection/>
    </xf>
    <xf numFmtId="0" fontId="67" fillId="0" borderId="0" xfId="61" applyFont="1">
      <alignment/>
      <protection/>
    </xf>
    <xf numFmtId="3" fontId="3" fillId="33" borderId="11" xfId="61" applyNumberFormat="1" applyFont="1" applyFill="1" applyBorder="1" applyAlignment="1">
      <alignment vertical="center" wrapText="1"/>
      <protection/>
    </xf>
    <xf numFmtId="3" fontId="3" fillId="33" borderId="17" xfId="61" applyNumberFormat="1" applyFont="1" applyFill="1" applyBorder="1" applyAlignment="1">
      <alignment vertical="center" wrapText="1"/>
      <protection/>
    </xf>
    <xf numFmtId="0" fontId="70" fillId="0" borderId="13" xfId="61" applyFont="1" applyBorder="1" applyAlignment="1">
      <alignment horizontal="center" vertical="top" wrapText="1"/>
      <protection/>
    </xf>
    <xf numFmtId="0" fontId="72" fillId="0" borderId="13" xfId="61" applyFont="1" applyBorder="1" applyAlignment="1">
      <alignment horizontal="center" vertical="top" wrapText="1"/>
      <protection/>
    </xf>
    <xf numFmtId="3" fontId="3" fillId="33" borderId="12" xfId="61" applyNumberFormat="1" applyFont="1" applyFill="1" applyBorder="1" applyAlignment="1">
      <alignment vertical="center" wrapText="1"/>
      <protection/>
    </xf>
    <xf numFmtId="3" fontId="71" fillId="0" borderId="0" xfId="61" applyNumberFormat="1" applyFont="1">
      <alignment/>
      <protection/>
    </xf>
    <xf numFmtId="190" fontId="72" fillId="0" borderId="10" xfId="61" applyNumberFormat="1" applyFont="1" applyBorder="1" applyAlignment="1">
      <alignment vertical="top" wrapText="1"/>
      <protection/>
    </xf>
    <xf numFmtId="190" fontId="70" fillId="0" borderId="11" xfId="61" applyNumberFormat="1" applyFont="1" applyBorder="1" applyAlignment="1">
      <alignment vertical="top" wrapText="1"/>
      <protection/>
    </xf>
    <xf numFmtId="190" fontId="70" fillId="0" borderId="12" xfId="61" applyNumberFormat="1" applyFont="1" applyBorder="1" applyAlignment="1">
      <alignment vertical="top" wrapText="1"/>
      <protection/>
    </xf>
    <xf numFmtId="3" fontId="13" fillId="0" borderId="10" xfId="61" applyNumberFormat="1" applyFont="1" applyBorder="1" applyAlignment="1">
      <alignment vertical="center" wrapText="1"/>
      <protection/>
    </xf>
    <xf numFmtId="0" fontId="13" fillId="0" borderId="10" xfId="61" applyFont="1" applyBorder="1" applyAlignment="1">
      <alignment horizontal="center" vertical="top" wrapText="1"/>
      <protection/>
    </xf>
    <xf numFmtId="3" fontId="13" fillId="0" borderId="10" xfId="61" applyNumberFormat="1" applyFont="1" applyBorder="1" applyAlignment="1">
      <alignment vertical="top" wrapText="1"/>
      <protection/>
    </xf>
    <xf numFmtId="0" fontId="14" fillId="0" borderId="0" xfId="61" applyFont="1">
      <alignment/>
      <protection/>
    </xf>
    <xf numFmtId="0" fontId="14" fillId="0" borderId="11" xfId="61" applyFont="1" applyBorder="1" applyAlignment="1">
      <alignment horizontal="center" vertical="top" wrapText="1"/>
      <protection/>
    </xf>
    <xf numFmtId="0" fontId="14" fillId="0" borderId="11" xfId="61" applyFont="1" applyBorder="1" applyAlignment="1">
      <alignment vertical="top" wrapText="1"/>
      <protection/>
    </xf>
    <xf numFmtId="3" fontId="14" fillId="0" borderId="11" xfId="61" applyNumberFormat="1" applyFont="1" applyBorder="1" applyAlignment="1">
      <alignment vertical="top" wrapText="1"/>
      <protection/>
    </xf>
    <xf numFmtId="0" fontId="14" fillId="0" borderId="17" xfId="61" applyFont="1" applyBorder="1" applyAlignment="1">
      <alignment horizontal="center" vertical="top" wrapText="1"/>
      <protection/>
    </xf>
    <xf numFmtId="0" fontId="14" fillId="0" borderId="17" xfId="61" applyFont="1" applyBorder="1" applyAlignment="1">
      <alignment vertical="top" wrapText="1"/>
      <protection/>
    </xf>
    <xf numFmtId="3" fontId="14" fillId="0" borderId="17" xfId="61" applyNumberFormat="1" applyFont="1" applyBorder="1" applyAlignment="1">
      <alignment vertical="top" wrapText="1"/>
      <protection/>
    </xf>
    <xf numFmtId="3" fontId="14" fillId="0" borderId="11" xfId="61" applyNumberFormat="1" applyFont="1" applyBorder="1" applyAlignment="1">
      <alignment vertical="center" wrapText="1"/>
      <protection/>
    </xf>
    <xf numFmtId="3" fontId="67" fillId="0" borderId="0" xfId="61" applyNumberFormat="1" applyFont="1">
      <alignment/>
      <protection/>
    </xf>
    <xf numFmtId="0" fontId="19" fillId="33" borderId="13" xfId="0" applyFont="1" applyFill="1" applyBorder="1" applyAlignment="1">
      <alignment horizontal="center" vertical="top" wrapText="1"/>
    </xf>
    <xf numFmtId="0" fontId="76" fillId="0" borderId="13" xfId="61" applyFont="1" applyBorder="1" applyAlignment="1">
      <alignment horizontal="center" vertical="top" wrapText="1"/>
      <protection/>
    </xf>
    <xf numFmtId="0" fontId="74" fillId="0" borderId="13" xfId="61" applyFont="1" applyBorder="1" applyAlignment="1">
      <alignment horizontal="center" vertical="top" wrapText="1"/>
      <protection/>
    </xf>
    <xf numFmtId="0" fontId="3" fillId="0" borderId="13" xfId="0" applyFont="1" applyBorder="1" applyAlignment="1">
      <alignment horizontal="center" vertical="center"/>
    </xf>
    <xf numFmtId="0" fontId="3" fillId="0" borderId="13" xfId="0" applyFont="1" applyBorder="1" applyAlignment="1" quotePrefix="1">
      <alignment horizontal="center" vertical="center"/>
    </xf>
    <xf numFmtId="0" fontId="3" fillId="0" borderId="0" xfId="0" applyFont="1" applyAlignment="1">
      <alignment horizontal="center" vertical="center"/>
    </xf>
    <xf numFmtId="0" fontId="3" fillId="0" borderId="13" xfId="0" applyFont="1" applyFill="1" applyBorder="1" applyAlignment="1" quotePrefix="1">
      <alignment horizontal="center" vertical="center"/>
    </xf>
    <xf numFmtId="0" fontId="13" fillId="0" borderId="13" xfId="60" applyFont="1" applyFill="1" applyBorder="1" applyAlignment="1">
      <alignment horizontal="center" vertical="top" wrapText="1"/>
      <protection/>
    </xf>
    <xf numFmtId="0" fontId="15" fillId="0" borderId="14" xfId="60" applyFont="1" applyFill="1" applyBorder="1" applyAlignment="1">
      <alignment horizontal="right"/>
      <protection/>
    </xf>
    <xf numFmtId="0" fontId="15" fillId="0" borderId="14" xfId="60" applyFont="1" applyFill="1" applyBorder="1">
      <alignment/>
      <protection/>
    </xf>
    <xf numFmtId="3" fontId="13" fillId="0" borderId="17" xfId="44" applyNumberFormat="1" applyFont="1" applyFill="1" applyBorder="1" applyAlignment="1">
      <alignment/>
    </xf>
    <xf numFmtId="0" fontId="20" fillId="33" borderId="13" xfId="0" applyFont="1" applyFill="1" applyBorder="1" applyAlignment="1">
      <alignment horizontal="center" vertical="center" wrapText="1"/>
    </xf>
    <xf numFmtId="0" fontId="23" fillId="0" borderId="0" xfId="60" applyFont="1">
      <alignment/>
      <protection/>
    </xf>
    <xf numFmtId="0" fontId="20" fillId="33" borderId="13" xfId="61" applyFont="1" applyFill="1" applyBorder="1" applyAlignment="1">
      <alignment horizontal="center" vertical="top" wrapText="1"/>
      <protection/>
    </xf>
    <xf numFmtId="0" fontId="20" fillId="0" borderId="0" xfId="61" applyFont="1">
      <alignment/>
      <protection/>
    </xf>
    <xf numFmtId="0" fontId="46" fillId="0" borderId="0" xfId="61" applyFont="1">
      <alignment/>
      <protection/>
    </xf>
    <xf numFmtId="0" fontId="3" fillId="0" borderId="0" xfId="61" applyFont="1" applyAlignment="1">
      <alignment horizontal="right" vertical="center"/>
      <protection/>
    </xf>
    <xf numFmtId="0" fontId="3" fillId="0" borderId="13" xfId="61" applyFont="1" applyBorder="1" applyAlignment="1">
      <alignment horizontal="center" vertical="top" wrapText="1"/>
      <protection/>
    </xf>
    <xf numFmtId="0" fontId="3" fillId="0" borderId="13" xfId="61" applyFont="1" applyBorder="1" applyAlignment="1">
      <alignment horizontal="center" vertical="center" wrapText="1"/>
      <protection/>
    </xf>
    <xf numFmtId="0" fontId="4" fillId="0" borderId="10" xfId="61" applyNumberFormat="1" applyFont="1" applyBorder="1" applyAlignment="1">
      <alignment horizontal="center" vertical="top" wrapText="1"/>
      <protection/>
    </xf>
    <xf numFmtId="0" fontId="4" fillId="0" borderId="10" xfId="61" applyNumberFormat="1" applyFont="1" applyBorder="1" applyAlignment="1">
      <alignment vertical="top" wrapText="1"/>
      <protection/>
    </xf>
    <xf numFmtId="3" fontId="4" fillId="0" borderId="10" xfId="61" applyNumberFormat="1" applyFont="1" applyBorder="1" applyAlignment="1">
      <alignment vertical="top" wrapText="1"/>
      <protection/>
    </xf>
    <xf numFmtId="4" fontId="4" fillId="0" borderId="10" xfId="61" applyNumberFormat="1" applyFont="1" applyBorder="1" applyAlignment="1">
      <alignment vertical="top" wrapText="1"/>
      <protection/>
    </xf>
    <xf numFmtId="0" fontId="4" fillId="0" borderId="11" xfId="61" applyNumberFormat="1" applyFont="1" applyBorder="1" applyAlignment="1">
      <alignment horizontal="center" vertical="top" wrapText="1"/>
      <protection/>
    </xf>
    <xf numFmtId="0" fontId="4" fillId="0" borderId="11" xfId="61" applyNumberFormat="1" applyFont="1" applyBorder="1" applyAlignment="1">
      <alignment vertical="top" wrapText="1"/>
      <protection/>
    </xf>
    <xf numFmtId="3" fontId="4" fillId="0" borderId="11" xfId="61" applyNumberFormat="1" applyFont="1" applyBorder="1" applyAlignment="1">
      <alignment vertical="top" wrapText="1"/>
      <protection/>
    </xf>
    <xf numFmtId="4" fontId="4" fillId="0" borderId="11" xfId="61" applyNumberFormat="1" applyFont="1" applyBorder="1" applyAlignment="1">
      <alignment vertical="top" wrapText="1"/>
      <protection/>
    </xf>
    <xf numFmtId="0" fontId="3" fillId="0" borderId="11" xfId="61" applyNumberFormat="1" applyFont="1" applyBorder="1" applyAlignment="1">
      <alignment horizontal="center" vertical="top" wrapText="1"/>
      <protection/>
    </xf>
    <xf numFmtId="0" fontId="3" fillId="0" borderId="11" xfId="61" applyNumberFormat="1" applyFont="1" applyBorder="1" applyAlignment="1">
      <alignment vertical="top" wrapText="1"/>
      <protection/>
    </xf>
    <xf numFmtId="3" fontId="3" fillId="0" borderId="11" xfId="61" applyNumberFormat="1" applyFont="1" applyBorder="1" applyAlignment="1">
      <alignment vertical="top" wrapText="1"/>
      <protection/>
    </xf>
    <xf numFmtId="4" fontId="3" fillId="0" borderId="11" xfId="61" applyNumberFormat="1" applyFont="1" applyBorder="1" applyAlignment="1">
      <alignment vertical="top" wrapText="1"/>
      <protection/>
    </xf>
    <xf numFmtId="0" fontId="5" fillId="0" borderId="11" xfId="61" applyNumberFormat="1" applyFont="1" applyBorder="1" applyAlignment="1">
      <alignment vertical="top" wrapText="1"/>
      <protection/>
    </xf>
    <xf numFmtId="3" fontId="5" fillId="0" borderId="11" xfId="61" applyNumberFormat="1" applyFont="1" applyBorder="1" applyAlignment="1">
      <alignment vertical="top" wrapText="1"/>
      <protection/>
    </xf>
    <xf numFmtId="4" fontId="5" fillId="0" borderId="11" xfId="61" applyNumberFormat="1" applyFont="1" applyBorder="1" applyAlignment="1">
      <alignment vertical="top" wrapText="1"/>
      <protection/>
    </xf>
    <xf numFmtId="0" fontId="3" fillId="0" borderId="22" xfId="61" applyNumberFormat="1" applyFont="1" applyBorder="1" applyAlignment="1">
      <alignment horizontal="center" vertical="top" wrapText="1"/>
      <protection/>
    </xf>
    <xf numFmtId="0" fontId="3" fillId="0" borderId="22" xfId="61" applyNumberFormat="1" applyFont="1" applyBorder="1" applyAlignment="1">
      <alignment vertical="top" wrapText="1"/>
      <protection/>
    </xf>
    <xf numFmtId="3" fontId="3" fillId="0" borderId="22" xfId="61" applyNumberFormat="1" applyFont="1" applyBorder="1" applyAlignment="1">
      <alignment vertical="top" wrapText="1"/>
      <protection/>
    </xf>
    <xf numFmtId="0" fontId="4" fillId="0" borderId="12" xfId="61" applyNumberFormat="1" applyFont="1" applyBorder="1" applyAlignment="1">
      <alignment horizontal="center" vertical="top" wrapText="1"/>
      <protection/>
    </xf>
    <xf numFmtId="0" fontId="4" fillId="0" borderId="12" xfId="61" applyNumberFormat="1" applyFont="1" applyBorder="1" applyAlignment="1">
      <alignment vertical="top" wrapText="1"/>
      <protection/>
    </xf>
    <xf numFmtId="3" fontId="3" fillId="0" borderId="12" xfId="61" applyNumberFormat="1" applyFont="1" applyBorder="1" applyAlignment="1">
      <alignment vertical="top" wrapText="1"/>
      <protection/>
    </xf>
    <xf numFmtId="4" fontId="3" fillId="0" borderId="12" xfId="61" applyNumberFormat="1" applyFont="1" applyBorder="1" applyAlignment="1">
      <alignment vertical="top" wrapText="1"/>
      <protection/>
    </xf>
    <xf numFmtId="0" fontId="20" fillId="0" borderId="11" xfId="61" applyFont="1" applyBorder="1" applyAlignment="1">
      <alignment horizontal="center" vertical="top" wrapText="1"/>
      <protection/>
    </xf>
    <xf numFmtId="0" fontId="13" fillId="0" borderId="0" xfId="61" applyFont="1" applyAlignment="1">
      <alignment horizontal="right" vertical="center"/>
      <protection/>
    </xf>
    <xf numFmtId="0" fontId="14" fillId="0" borderId="0" xfId="61" applyFont="1" applyAlignment="1">
      <alignment horizontal="right" vertical="center"/>
      <protection/>
    </xf>
    <xf numFmtId="0" fontId="14" fillId="0" borderId="13" xfId="61" applyFont="1" applyBorder="1" applyAlignment="1">
      <alignment horizontal="center" vertical="top" wrapText="1"/>
      <protection/>
    </xf>
    <xf numFmtId="0" fontId="14" fillId="0" borderId="13" xfId="61" applyFont="1" applyBorder="1" applyAlignment="1">
      <alignment horizontal="center" vertical="center" wrapText="1"/>
      <protection/>
    </xf>
    <xf numFmtId="0" fontId="14" fillId="0" borderId="13" xfId="61" applyFont="1" applyBorder="1" applyAlignment="1" quotePrefix="1">
      <alignment horizontal="center" vertical="center" wrapText="1"/>
      <protection/>
    </xf>
    <xf numFmtId="0" fontId="13" fillId="0" borderId="10" xfId="61" applyFont="1" applyBorder="1" applyAlignment="1">
      <alignment horizontal="center" vertical="center" wrapText="1"/>
      <protection/>
    </xf>
    <xf numFmtId="0" fontId="13" fillId="0" borderId="10" xfId="61" applyFont="1" applyBorder="1" applyAlignment="1">
      <alignment vertical="center" wrapText="1"/>
      <protection/>
    </xf>
    <xf numFmtId="0" fontId="14" fillId="0" borderId="11" xfId="61" applyFont="1" applyBorder="1" applyAlignment="1">
      <alignment horizontal="center" vertical="center" wrapText="1"/>
      <protection/>
    </xf>
    <xf numFmtId="0" fontId="14" fillId="0" borderId="11" xfId="61" applyFont="1" applyBorder="1" applyAlignment="1">
      <alignment vertical="center" wrapText="1"/>
      <protection/>
    </xf>
    <xf numFmtId="0" fontId="14" fillId="0" borderId="20" xfId="61" applyFont="1" applyBorder="1" applyAlignment="1">
      <alignment vertical="center" wrapText="1"/>
      <protection/>
    </xf>
    <xf numFmtId="3" fontId="14" fillId="0" borderId="20" xfId="61" applyNumberFormat="1" applyFont="1" applyBorder="1" applyAlignment="1">
      <alignment vertical="center" wrapText="1"/>
      <protection/>
    </xf>
    <xf numFmtId="0" fontId="14" fillId="0" borderId="12" xfId="61" applyFont="1" applyBorder="1" applyAlignment="1">
      <alignment horizontal="center" vertical="center" wrapText="1"/>
      <protection/>
    </xf>
    <xf numFmtId="0" fontId="14" fillId="0" borderId="12" xfId="61" applyFont="1" applyBorder="1" applyAlignment="1">
      <alignment vertical="center" wrapText="1"/>
      <protection/>
    </xf>
    <xf numFmtId="3" fontId="14" fillId="0" borderId="12" xfId="61" applyNumberFormat="1" applyFont="1" applyBorder="1" applyAlignment="1">
      <alignment vertical="center" wrapText="1"/>
      <protection/>
    </xf>
    <xf numFmtId="0" fontId="20" fillId="0" borderId="0" xfId="0" applyFont="1" applyAlignment="1">
      <alignment/>
    </xf>
    <xf numFmtId="0" fontId="4" fillId="0" borderId="0" xfId="0" applyFont="1" applyAlignment="1">
      <alignment horizontal="right" vertical="center"/>
    </xf>
    <xf numFmtId="0" fontId="3" fillId="0" borderId="0" xfId="0" applyFont="1" applyAlignment="1">
      <alignment horizontal="right" vertical="center"/>
    </xf>
    <xf numFmtId="0" fontId="3" fillId="0" borderId="13" xfId="0" applyFont="1" applyBorder="1" applyAlignment="1">
      <alignment horizontal="center" vertical="top" wrapText="1"/>
    </xf>
    <xf numFmtId="0" fontId="3" fillId="0" borderId="13" xfId="0" applyFont="1" applyBorder="1" applyAlignment="1">
      <alignment horizontal="center" vertical="top"/>
    </xf>
    <xf numFmtId="0" fontId="14" fillId="0" borderId="0" xfId="61" applyFont="1" applyAlignment="1">
      <alignment/>
      <protection/>
    </xf>
    <xf numFmtId="0" fontId="3" fillId="0" borderId="13" xfId="0" applyFont="1" applyBorder="1" applyAlignment="1" quotePrefix="1">
      <alignment horizontal="center" vertical="top" wrapText="1"/>
    </xf>
    <xf numFmtId="0" fontId="3" fillId="0" borderId="10" xfId="0" applyFont="1" applyBorder="1" applyAlignment="1">
      <alignment vertical="top" wrapText="1"/>
    </xf>
    <xf numFmtId="0" fontId="4" fillId="0" borderId="10" xfId="0" applyFont="1" applyBorder="1" applyAlignment="1">
      <alignment vertical="top" wrapText="1"/>
    </xf>
    <xf numFmtId="3" fontId="4" fillId="0" borderId="10" xfId="0" applyNumberFormat="1" applyFont="1" applyBorder="1" applyAlignment="1">
      <alignment vertical="top" wrapText="1"/>
    </xf>
    <xf numFmtId="3" fontId="3" fillId="0" borderId="10" xfId="0" applyNumberFormat="1" applyFont="1" applyBorder="1" applyAlignment="1">
      <alignment vertical="top" wrapText="1"/>
    </xf>
    <xf numFmtId="4" fontId="4" fillId="0" borderId="11" xfId="0" applyNumberFormat="1" applyFont="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horizontal="center" vertical="top" wrapText="1"/>
    </xf>
    <xf numFmtId="0" fontId="3" fillId="0" borderId="11" xfId="0" applyFont="1" applyBorder="1" applyAlignment="1">
      <alignment vertical="top" wrapText="1"/>
    </xf>
    <xf numFmtId="3" fontId="3" fillId="0" borderId="11" xfId="0" applyNumberFormat="1" applyFont="1" applyBorder="1" applyAlignment="1">
      <alignment vertical="top" wrapText="1"/>
    </xf>
    <xf numFmtId="4" fontId="3" fillId="0" borderId="11" xfId="0" applyNumberFormat="1" applyFont="1" applyBorder="1" applyAlignment="1">
      <alignment vertical="top" wrapText="1"/>
    </xf>
    <xf numFmtId="0" fontId="3" fillId="0" borderId="17" xfId="0" applyFont="1" applyBorder="1" applyAlignment="1">
      <alignment horizontal="center" vertical="top" wrapText="1"/>
    </xf>
    <xf numFmtId="0" fontId="3" fillId="0" borderId="17" xfId="0" applyFont="1" applyBorder="1" applyAlignment="1">
      <alignment vertical="top" wrapText="1"/>
    </xf>
    <xf numFmtId="3" fontId="3" fillId="0" borderId="17" xfId="0" applyNumberFormat="1" applyFont="1" applyBorder="1" applyAlignment="1">
      <alignment vertical="top" wrapText="1"/>
    </xf>
    <xf numFmtId="0" fontId="20" fillId="0" borderId="13" xfId="61" applyFont="1" applyBorder="1" applyAlignment="1">
      <alignment horizontal="center" vertical="top" wrapText="1"/>
      <protection/>
    </xf>
    <xf numFmtId="0" fontId="20" fillId="0" borderId="13" xfId="61" applyFont="1" applyBorder="1" applyAlignment="1" quotePrefix="1">
      <alignment horizontal="center" vertical="top" wrapText="1"/>
      <protection/>
    </xf>
    <xf numFmtId="0" fontId="20" fillId="0" borderId="17" xfId="61" applyFont="1" applyBorder="1" applyAlignment="1">
      <alignment horizontal="center" vertical="top" wrapText="1"/>
      <protection/>
    </xf>
    <xf numFmtId="0" fontId="19" fillId="0" borderId="17" xfId="61" applyFont="1" applyBorder="1" applyAlignment="1">
      <alignment vertical="top" wrapText="1"/>
      <protection/>
    </xf>
    <xf numFmtId="3" fontId="19" fillId="0" borderId="17" xfId="61" applyNumberFormat="1" applyFont="1" applyBorder="1" applyAlignment="1">
      <alignment vertical="top" wrapText="1"/>
      <protection/>
    </xf>
    <xf numFmtId="0" fontId="20" fillId="0" borderId="10" xfId="61" applyFont="1" applyBorder="1" applyAlignment="1">
      <alignment horizontal="center" vertical="top" wrapText="1"/>
      <protection/>
    </xf>
    <xf numFmtId="0" fontId="20" fillId="0" borderId="10" xfId="61" applyFont="1" applyBorder="1" applyAlignment="1">
      <alignment vertical="top" wrapText="1"/>
      <protection/>
    </xf>
    <xf numFmtId="3" fontId="20" fillId="0" borderId="10" xfId="61" applyNumberFormat="1" applyFont="1" applyBorder="1" applyAlignment="1">
      <alignment vertical="top" wrapText="1"/>
      <protection/>
    </xf>
    <xf numFmtId="0" fontId="20" fillId="0" borderId="11" xfId="61" applyFont="1" applyBorder="1" applyAlignment="1">
      <alignment vertical="top" wrapText="1"/>
      <protection/>
    </xf>
    <xf numFmtId="3" fontId="20" fillId="0" borderId="11" xfId="61" applyNumberFormat="1" applyFont="1" applyBorder="1" applyAlignment="1">
      <alignment vertical="top" wrapText="1"/>
      <protection/>
    </xf>
    <xf numFmtId="4" fontId="19" fillId="0" borderId="11" xfId="0" applyNumberFormat="1" applyFont="1" applyBorder="1" applyAlignment="1">
      <alignment/>
    </xf>
    <xf numFmtId="3" fontId="20" fillId="0" borderId="11" xfId="0" applyNumberFormat="1" applyFont="1" applyBorder="1" applyAlignment="1">
      <alignment/>
    </xf>
    <xf numFmtId="4" fontId="20" fillId="0" borderId="11" xfId="0" applyNumberFormat="1" applyFont="1" applyBorder="1" applyAlignment="1">
      <alignment/>
    </xf>
    <xf numFmtId="3" fontId="20" fillId="0" borderId="12" xfId="0" applyNumberFormat="1" applyFont="1" applyBorder="1" applyAlignment="1">
      <alignment/>
    </xf>
    <xf numFmtId="0" fontId="70" fillId="0" borderId="12" xfId="61" applyFont="1" applyBorder="1" applyAlignment="1">
      <alignment horizontal="center" vertical="top" wrapText="1"/>
      <protection/>
    </xf>
    <xf numFmtId="0" fontId="70" fillId="0" borderId="12" xfId="61" applyFont="1" applyBorder="1" applyAlignment="1">
      <alignment vertical="top" wrapText="1"/>
      <protection/>
    </xf>
    <xf numFmtId="0" fontId="3" fillId="0" borderId="13" xfId="0" applyFont="1" applyFill="1" applyBorder="1" applyAlignment="1">
      <alignment horizontal="center" vertical="center"/>
    </xf>
    <xf numFmtId="0" fontId="20" fillId="33" borderId="11" xfId="61" applyFont="1" applyFill="1" applyBorder="1" applyAlignment="1">
      <alignment vertical="top"/>
      <protection/>
    </xf>
    <xf numFmtId="0" fontId="14" fillId="0" borderId="0" xfId="61" applyFont="1" applyAlignment="1">
      <alignment vertical="top"/>
      <protection/>
    </xf>
    <xf numFmtId="0" fontId="13" fillId="0" borderId="10" xfId="61" applyFont="1" applyBorder="1" applyAlignment="1">
      <alignment vertical="top" wrapText="1"/>
      <protection/>
    </xf>
    <xf numFmtId="0" fontId="13" fillId="0" borderId="11" xfId="61" applyFont="1" applyBorder="1" applyAlignment="1">
      <alignment horizontal="center" vertical="top" wrapText="1"/>
      <protection/>
    </xf>
    <xf numFmtId="0" fontId="13" fillId="0" borderId="11" xfId="61" applyFont="1" applyBorder="1" applyAlignment="1">
      <alignment vertical="top" wrapText="1"/>
      <protection/>
    </xf>
    <xf numFmtId="3" fontId="13" fillId="0" borderId="11" xfId="61" applyNumberFormat="1" applyFont="1" applyBorder="1" applyAlignment="1">
      <alignment vertical="top" wrapText="1"/>
      <protection/>
    </xf>
    <xf numFmtId="0" fontId="14" fillId="0" borderId="0" xfId="61" applyFont="1" applyAlignment="1">
      <alignment horizontal="left"/>
      <protection/>
    </xf>
    <xf numFmtId="0" fontId="20" fillId="0" borderId="0" xfId="61" applyFont="1" applyAlignment="1">
      <alignment vertical="top"/>
      <protection/>
    </xf>
    <xf numFmtId="0" fontId="19" fillId="0" borderId="10" xfId="61" applyFont="1" applyBorder="1" applyAlignment="1">
      <alignment vertical="top" wrapText="1"/>
      <protection/>
    </xf>
    <xf numFmtId="0" fontId="20" fillId="0" borderId="12" xfId="61" applyFont="1" applyBorder="1" applyAlignment="1">
      <alignment horizontal="center" vertical="top" wrapText="1"/>
      <protection/>
    </xf>
    <xf numFmtId="3" fontId="20" fillId="33" borderId="11" xfId="61" applyNumberFormat="1" applyFont="1" applyFill="1" applyBorder="1" applyAlignment="1" quotePrefix="1">
      <alignment vertical="top" wrapText="1"/>
      <protection/>
    </xf>
    <xf numFmtId="3" fontId="14" fillId="0" borderId="12" xfId="61" applyNumberFormat="1" applyFont="1" applyBorder="1" applyAlignment="1">
      <alignment vertical="top" wrapText="1"/>
      <protection/>
    </xf>
    <xf numFmtId="0" fontId="14" fillId="0" borderId="21" xfId="61" applyFont="1" applyBorder="1" applyAlignment="1">
      <alignment horizontal="center" vertical="top" wrapText="1"/>
      <protection/>
    </xf>
    <xf numFmtId="3" fontId="14" fillId="0" borderId="21" xfId="61" applyNumberFormat="1" applyFont="1" applyBorder="1" applyAlignment="1">
      <alignment vertical="top" wrapText="1"/>
      <protection/>
    </xf>
    <xf numFmtId="190" fontId="19" fillId="0" borderId="10" xfId="61" applyNumberFormat="1" applyFont="1" applyBorder="1" applyAlignment="1">
      <alignment vertical="top"/>
      <protection/>
    </xf>
    <xf numFmtId="190" fontId="20" fillId="0" borderId="11" xfId="61" applyNumberFormat="1" applyFont="1" applyBorder="1" applyAlignment="1">
      <alignment vertical="top"/>
      <protection/>
    </xf>
    <xf numFmtId="190" fontId="20" fillId="0" borderId="12" xfId="61" applyNumberFormat="1" applyFont="1" applyBorder="1" applyAlignment="1">
      <alignment vertical="top"/>
      <protection/>
    </xf>
    <xf numFmtId="3" fontId="14" fillId="0" borderId="20" xfId="61" applyNumberFormat="1" applyFont="1" applyBorder="1" applyAlignment="1">
      <alignment vertical="top" wrapText="1"/>
      <protection/>
    </xf>
    <xf numFmtId="0" fontId="19" fillId="33" borderId="13" xfId="0" applyFont="1" applyFill="1" applyBorder="1" applyAlignment="1">
      <alignment horizontal="center" vertical="top" wrapText="1"/>
    </xf>
    <xf numFmtId="0" fontId="14" fillId="0" borderId="20" xfId="61" applyFont="1" applyBorder="1" applyAlignment="1">
      <alignment horizontal="center" vertical="center" wrapText="1"/>
      <protection/>
    </xf>
    <xf numFmtId="0" fontId="77" fillId="0" borderId="0" xfId="61" applyFont="1">
      <alignment/>
      <protection/>
    </xf>
    <xf numFmtId="3" fontId="19" fillId="33" borderId="10" xfId="61" applyNumberFormat="1" applyFont="1" applyFill="1" applyBorder="1" applyAlignment="1">
      <alignment vertical="center" wrapText="1"/>
      <protection/>
    </xf>
    <xf numFmtId="3" fontId="20" fillId="33" borderId="11" xfId="61" applyNumberFormat="1" applyFont="1" applyFill="1" applyBorder="1" applyAlignment="1">
      <alignment vertical="center" wrapText="1"/>
      <protection/>
    </xf>
    <xf numFmtId="3" fontId="20" fillId="33" borderId="17" xfId="61" applyNumberFormat="1" applyFont="1" applyFill="1" applyBorder="1" applyAlignment="1">
      <alignment vertical="center" wrapText="1"/>
      <protection/>
    </xf>
    <xf numFmtId="3" fontId="20" fillId="33" borderId="12" xfId="61" applyNumberFormat="1" applyFont="1" applyFill="1" applyBorder="1" applyAlignment="1">
      <alignment vertical="center" wrapText="1"/>
      <protection/>
    </xf>
    <xf numFmtId="0" fontId="4" fillId="0" borderId="0" xfId="61" applyFont="1" applyAlignment="1">
      <alignment horizontal="right" vertical="center"/>
      <protection/>
    </xf>
    <xf numFmtId="0" fontId="14" fillId="0" borderId="21" xfId="61" applyFont="1" applyBorder="1" applyAlignment="1">
      <alignment vertical="top" wrapText="1"/>
      <protection/>
    </xf>
    <xf numFmtId="0" fontId="4" fillId="0" borderId="13" xfId="61" applyFont="1" applyBorder="1" applyAlignment="1">
      <alignment horizontal="center" vertical="top" wrapText="1"/>
      <protection/>
    </xf>
    <xf numFmtId="0" fontId="3" fillId="0" borderId="13" xfId="61" applyFont="1" applyBorder="1" applyAlignment="1" quotePrefix="1">
      <alignment horizontal="center" vertical="center" wrapText="1"/>
      <protection/>
    </xf>
    <xf numFmtId="3" fontId="78" fillId="33" borderId="11" xfId="0" applyNumberFormat="1" applyFont="1" applyFill="1" applyBorder="1" applyAlignment="1">
      <alignment vertical="top" wrapText="1"/>
    </xf>
    <xf numFmtId="3" fontId="79" fillId="33" borderId="11" xfId="0" applyNumberFormat="1" applyFont="1" applyFill="1" applyBorder="1" applyAlignment="1">
      <alignment vertical="top" wrapText="1"/>
    </xf>
    <xf numFmtId="0" fontId="3" fillId="0" borderId="0" xfId="61" applyFont="1">
      <alignment/>
      <protection/>
    </xf>
    <xf numFmtId="3" fontId="3" fillId="0" borderId="0" xfId="61" applyNumberFormat="1" applyFont="1">
      <alignment/>
      <protection/>
    </xf>
    <xf numFmtId="3" fontId="3" fillId="0" borderId="0" xfId="0" applyNumberFormat="1" applyFont="1" applyBorder="1" applyAlignment="1">
      <alignment/>
    </xf>
    <xf numFmtId="3" fontId="20" fillId="0" borderId="0" xfId="61" applyNumberFormat="1" applyFont="1" applyAlignment="1">
      <alignment vertical="center"/>
      <protection/>
    </xf>
    <xf numFmtId="3" fontId="20" fillId="34" borderId="11" xfId="61" applyNumberFormat="1" applyFont="1" applyFill="1" applyBorder="1" applyAlignment="1">
      <alignment vertical="center" wrapText="1"/>
      <protection/>
    </xf>
    <xf numFmtId="3" fontId="20" fillId="34" borderId="12" xfId="61" applyNumberFormat="1" applyFont="1" applyFill="1" applyBorder="1" applyAlignment="1">
      <alignment vertical="center" wrapText="1"/>
      <protection/>
    </xf>
    <xf numFmtId="0" fontId="19" fillId="33" borderId="13" xfId="61" applyFont="1" applyFill="1" applyBorder="1" applyAlignment="1">
      <alignment horizontal="center" vertical="top" wrapText="1"/>
      <protection/>
    </xf>
    <xf numFmtId="0" fontId="19" fillId="33" borderId="13" xfId="61" applyFont="1" applyFill="1" applyBorder="1" applyAlignment="1">
      <alignment horizontal="center" vertical="center" wrapText="1"/>
      <protection/>
    </xf>
    <xf numFmtId="0" fontId="19" fillId="0" borderId="10" xfId="61" applyFont="1" applyBorder="1" applyAlignment="1">
      <alignment horizontal="center" vertical="top" wrapText="1"/>
      <protection/>
    </xf>
    <xf numFmtId="3" fontId="19" fillId="0" borderId="10" xfId="61" applyNumberFormat="1" applyFont="1" applyBorder="1" applyAlignment="1">
      <alignment vertical="top" wrapText="1"/>
      <protection/>
    </xf>
    <xf numFmtId="0" fontId="19" fillId="0" borderId="11" xfId="61" applyFont="1" applyBorder="1" applyAlignment="1">
      <alignment horizontal="center" vertical="top" wrapText="1"/>
      <protection/>
    </xf>
    <xf numFmtId="0" fontId="19" fillId="0" borderId="11" xfId="61" applyFont="1" applyBorder="1" applyAlignment="1">
      <alignment vertical="top" wrapText="1"/>
      <protection/>
    </xf>
    <xf numFmtId="3" fontId="19" fillId="0" borderId="11" xfId="61" applyNumberFormat="1" applyFont="1" applyBorder="1" applyAlignment="1">
      <alignment vertical="top" wrapText="1"/>
      <protection/>
    </xf>
    <xf numFmtId="0" fontId="20" fillId="0" borderId="20" xfId="61" applyFont="1" applyBorder="1" applyAlignment="1">
      <alignment horizontal="center" vertical="top" wrapText="1"/>
      <protection/>
    </xf>
    <xf numFmtId="0" fontId="20" fillId="0" borderId="20" xfId="61" applyFont="1" applyBorder="1" applyAlignment="1">
      <alignment vertical="top" wrapText="1"/>
      <protection/>
    </xf>
    <xf numFmtId="3" fontId="20" fillId="0" borderId="20" xfId="61" applyNumberFormat="1" applyFont="1" applyBorder="1" applyAlignment="1">
      <alignment vertical="top" wrapText="1"/>
      <protection/>
    </xf>
    <xf numFmtId="0" fontId="19" fillId="0" borderId="11" xfId="61" applyFont="1" applyBorder="1" applyAlignment="1">
      <alignment vertical="top"/>
      <protection/>
    </xf>
    <xf numFmtId="0" fontId="19" fillId="0" borderId="17" xfId="61" applyFont="1" applyBorder="1" applyAlignment="1">
      <alignment horizontal="center" vertical="top" wrapText="1"/>
      <protection/>
    </xf>
    <xf numFmtId="3" fontId="14" fillId="0" borderId="0" xfId="61" applyNumberFormat="1" applyFont="1">
      <alignment/>
      <protection/>
    </xf>
    <xf numFmtId="0" fontId="72" fillId="0" borderId="13" xfId="61" applyFont="1" applyBorder="1" applyAlignment="1">
      <alignment horizontal="center" vertical="center" wrapText="1"/>
      <protection/>
    </xf>
    <xf numFmtId="0" fontId="72" fillId="0" borderId="13" xfId="61" applyFont="1" applyBorder="1" applyAlignment="1">
      <alignment vertical="center" wrapText="1"/>
      <protection/>
    </xf>
    <xf numFmtId="3" fontId="72" fillId="0" borderId="13" xfId="61" applyNumberFormat="1" applyFont="1" applyBorder="1" applyAlignment="1">
      <alignment vertical="center" wrapText="1"/>
      <protection/>
    </xf>
    <xf numFmtId="4" fontId="72" fillId="0" borderId="13" xfId="61" applyNumberFormat="1" applyFont="1" applyBorder="1" applyAlignment="1">
      <alignment vertical="center" wrapText="1"/>
      <protection/>
    </xf>
    <xf numFmtId="0" fontId="70" fillId="0" borderId="13" xfId="61" applyFont="1" applyBorder="1" applyAlignment="1">
      <alignment vertical="center" wrapText="1"/>
      <protection/>
    </xf>
    <xf numFmtId="3" fontId="70" fillId="0" borderId="13" xfId="61" applyNumberFormat="1" applyFont="1" applyBorder="1" applyAlignment="1">
      <alignment vertical="center" wrapText="1"/>
      <protection/>
    </xf>
    <xf numFmtId="4" fontId="70" fillId="0" borderId="13" xfId="61" applyNumberFormat="1" applyFont="1" applyBorder="1" applyAlignment="1">
      <alignment vertical="center" wrapText="1"/>
      <protection/>
    </xf>
    <xf numFmtId="0" fontId="80" fillId="0" borderId="13" xfId="61" applyFont="1" applyBorder="1" applyAlignment="1">
      <alignment vertical="center" wrapText="1"/>
      <protection/>
    </xf>
    <xf numFmtId="3" fontId="80" fillId="0" borderId="13" xfId="61" applyNumberFormat="1" applyFont="1" applyBorder="1" applyAlignment="1">
      <alignment vertical="center" wrapText="1"/>
      <protection/>
    </xf>
    <xf numFmtId="4" fontId="80" fillId="0" borderId="13" xfId="61" applyNumberFormat="1" applyFont="1" applyBorder="1" applyAlignment="1">
      <alignment vertical="center" wrapText="1"/>
      <protection/>
    </xf>
    <xf numFmtId="0" fontId="80" fillId="0" borderId="13" xfId="61" applyFont="1" applyBorder="1" applyAlignment="1">
      <alignment horizontal="center" vertical="center" wrapText="1"/>
      <protection/>
    </xf>
    <xf numFmtId="3" fontId="5" fillId="0" borderId="13" xfId="58" applyNumberFormat="1" applyFont="1" applyBorder="1" applyAlignment="1">
      <alignment horizontal="left"/>
      <protection/>
    </xf>
    <xf numFmtId="0" fontId="5" fillId="0" borderId="13" xfId="60" applyFont="1" applyFill="1" applyBorder="1">
      <alignment/>
      <protection/>
    </xf>
    <xf numFmtId="190" fontId="20" fillId="0" borderId="0" xfId="61" applyNumberFormat="1" applyFont="1" applyAlignment="1">
      <alignment vertical="top"/>
      <protection/>
    </xf>
    <xf numFmtId="190" fontId="70" fillId="0" borderId="11" xfId="61" applyNumberFormat="1" applyFont="1" applyBorder="1" applyAlignment="1" quotePrefix="1">
      <alignment vertical="top" wrapText="1"/>
      <protection/>
    </xf>
    <xf numFmtId="190" fontId="3" fillId="0" borderId="11" xfId="61" applyNumberFormat="1" applyFont="1" applyBorder="1" applyAlignment="1">
      <alignment vertical="top" wrapText="1"/>
      <protection/>
    </xf>
    <xf numFmtId="190" fontId="70" fillId="0" borderId="17" xfId="61" applyNumberFormat="1" applyFont="1" applyBorder="1" applyAlignment="1">
      <alignment vertical="top" wrapText="1"/>
      <protection/>
    </xf>
    <xf numFmtId="190" fontId="70" fillId="0" borderId="17" xfId="61" applyNumberFormat="1" applyFont="1" applyBorder="1" applyAlignment="1" quotePrefix="1">
      <alignment vertical="top" wrapText="1"/>
      <protection/>
    </xf>
    <xf numFmtId="190" fontId="3" fillId="0" borderId="12" xfId="61" applyNumberFormat="1" applyFont="1" applyBorder="1" applyAlignment="1">
      <alignment vertical="top" wrapText="1"/>
      <protection/>
    </xf>
    <xf numFmtId="0" fontId="4" fillId="0" borderId="13" xfId="61" applyFont="1" applyBorder="1" applyAlignment="1">
      <alignment horizontal="center" vertical="center" wrapText="1"/>
      <protection/>
    </xf>
    <xf numFmtId="0" fontId="4" fillId="0" borderId="13" xfId="61" applyFont="1" applyBorder="1" applyAlignment="1">
      <alignment vertical="center" wrapText="1"/>
      <protection/>
    </xf>
    <xf numFmtId="3" fontId="4" fillId="0" borderId="13" xfId="61" applyNumberFormat="1" applyFont="1" applyBorder="1" applyAlignment="1">
      <alignment vertical="center" wrapText="1"/>
      <protection/>
    </xf>
    <xf numFmtId="4" fontId="4" fillId="0" borderId="13" xfId="61" applyNumberFormat="1" applyFont="1" applyBorder="1" applyAlignment="1">
      <alignment vertical="center" wrapText="1"/>
      <protection/>
    </xf>
    <xf numFmtId="0" fontId="3" fillId="0" borderId="13" xfId="61" applyFont="1" applyBorder="1" applyAlignment="1">
      <alignment vertical="center" wrapText="1"/>
      <protection/>
    </xf>
    <xf numFmtId="3" fontId="3" fillId="0" borderId="13" xfId="61" applyNumberFormat="1" applyFont="1" applyBorder="1" applyAlignment="1">
      <alignment vertical="center" wrapText="1"/>
      <protection/>
    </xf>
    <xf numFmtId="4" fontId="3" fillId="0" borderId="13" xfId="61" applyNumberFormat="1" applyFont="1" applyBorder="1" applyAlignment="1">
      <alignment vertical="center" wrapText="1"/>
      <protection/>
    </xf>
    <xf numFmtId="0" fontId="5" fillId="0" borderId="13" xfId="61" applyFont="1" applyBorder="1" applyAlignment="1">
      <alignment vertical="center" wrapText="1"/>
      <protection/>
    </xf>
    <xf numFmtId="3" fontId="5" fillId="0" borderId="13" xfId="61" applyNumberFormat="1" applyFont="1" applyBorder="1" applyAlignment="1">
      <alignment vertical="center" wrapText="1"/>
      <protection/>
    </xf>
    <xf numFmtId="4" fontId="5" fillId="0" borderId="13" xfId="61" applyNumberFormat="1" applyFont="1" applyBorder="1" applyAlignment="1">
      <alignment vertical="center" wrapText="1"/>
      <protection/>
    </xf>
    <xf numFmtId="0" fontId="70" fillId="0" borderId="13" xfId="61" applyFont="1" applyBorder="1" applyAlignment="1">
      <alignment horizontal="center" vertical="top" wrapText="1"/>
      <protection/>
    </xf>
    <xf numFmtId="0" fontId="72" fillId="0" borderId="13" xfId="61" applyFont="1" applyBorder="1" applyAlignment="1">
      <alignment vertical="top" wrapText="1"/>
      <protection/>
    </xf>
    <xf numFmtId="3" fontId="72" fillId="0" borderId="13" xfId="61" applyNumberFormat="1" applyFont="1" applyBorder="1" applyAlignment="1">
      <alignment vertical="top" wrapText="1"/>
      <protection/>
    </xf>
    <xf numFmtId="0" fontId="70" fillId="0" borderId="13" xfId="61" applyFont="1" applyBorder="1" applyAlignment="1">
      <alignment vertical="top" wrapText="1"/>
      <protection/>
    </xf>
    <xf numFmtId="3" fontId="70" fillId="0" borderId="13" xfId="61" applyNumberFormat="1" applyFont="1" applyBorder="1" applyAlignment="1">
      <alignment vertical="top" wrapText="1"/>
      <protection/>
    </xf>
    <xf numFmtId="0" fontId="13" fillId="0" borderId="13" xfId="61" applyFont="1" applyBorder="1" applyAlignment="1">
      <alignment horizontal="center" vertical="center" wrapText="1"/>
      <protection/>
    </xf>
    <xf numFmtId="0" fontId="13" fillId="0" borderId="13" xfId="61" applyFont="1" applyBorder="1" applyAlignment="1">
      <alignment vertical="center" wrapText="1"/>
      <protection/>
    </xf>
    <xf numFmtId="3" fontId="13" fillId="0" borderId="13" xfId="61" applyNumberFormat="1" applyFont="1" applyBorder="1" applyAlignment="1">
      <alignment vertical="center" wrapText="1"/>
      <protection/>
    </xf>
    <xf numFmtId="0" fontId="14" fillId="0" borderId="13" xfId="61" applyFont="1" applyBorder="1" applyAlignment="1">
      <alignment vertical="center" wrapText="1"/>
      <protection/>
    </xf>
    <xf numFmtId="3" fontId="14" fillId="0" borderId="13" xfId="61" applyNumberFormat="1" applyFont="1" applyBorder="1" applyAlignment="1">
      <alignment vertical="center" wrapText="1"/>
      <protection/>
    </xf>
    <xf numFmtId="0" fontId="19" fillId="0" borderId="0" xfId="61" applyFont="1" applyAlignment="1">
      <alignment vertical="center" wrapText="1"/>
      <protection/>
    </xf>
    <xf numFmtId="0" fontId="19" fillId="0" borderId="0" xfId="61" applyFont="1" applyAlignment="1">
      <alignment horizontal="left" vertical="center"/>
      <protection/>
    </xf>
    <xf numFmtId="0" fontId="4" fillId="0" borderId="23" xfId="0" applyFont="1" applyBorder="1" applyAlignment="1">
      <alignment vertical="top"/>
    </xf>
    <xf numFmtId="0" fontId="4" fillId="0" borderId="21" xfId="0" applyFont="1" applyBorder="1" applyAlignment="1">
      <alignment vertical="top"/>
    </xf>
    <xf numFmtId="0" fontId="4" fillId="0" borderId="17" xfId="0" applyFont="1" applyBorder="1" applyAlignment="1">
      <alignment vertical="top"/>
    </xf>
    <xf numFmtId="0" fontId="4" fillId="0" borderId="24" xfId="0" applyNumberFormat="1" applyFont="1" applyFill="1" applyBorder="1" applyAlignment="1">
      <alignment vertical="top" wrapText="1"/>
    </xf>
    <xf numFmtId="0" fontId="4" fillId="0" borderId="0" xfId="0" applyFont="1" applyAlignment="1">
      <alignment horizontal="right"/>
    </xf>
    <xf numFmtId="0" fontId="19" fillId="0" borderId="0" xfId="0" applyFont="1" applyFill="1" applyAlignment="1">
      <alignment/>
    </xf>
    <xf numFmtId="0" fontId="19" fillId="33" borderId="24" xfId="61" applyFont="1" applyFill="1" applyBorder="1" applyAlignment="1">
      <alignment vertical="top" wrapText="1"/>
      <protection/>
    </xf>
    <xf numFmtId="0" fontId="20" fillId="0" borderId="25" xfId="61" applyFont="1" applyBorder="1" applyAlignment="1">
      <alignment vertical="center" wrapText="1"/>
      <protection/>
    </xf>
    <xf numFmtId="0" fontId="20" fillId="0" borderId="25" xfId="61" applyFont="1" applyBorder="1" applyAlignment="1">
      <alignment horizontal="right" vertical="center"/>
      <protection/>
    </xf>
    <xf numFmtId="0" fontId="70" fillId="0" borderId="13" xfId="61" applyFont="1" applyBorder="1" applyAlignment="1">
      <alignment horizontal="center" vertical="top" wrapText="1"/>
      <protection/>
    </xf>
    <xf numFmtId="0" fontId="70" fillId="0" borderId="13" xfId="61" applyFont="1" applyBorder="1" applyAlignment="1">
      <alignment horizontal="center" vertical="top" wrapText="1"/>
      <protection/>
    </xf>
    <xf numFmtId="0" fontId="4" fillId="0" borderId="13" xfId="0" applyFont="1" applyBorder="1" applyAlignment="1">
      <alignment horizontal="center" vertical="top" wrapText="1"/>
    </xf>
    <xf numFmtId="0" fontId="3" fillId="0" borderId="0" xfId="0" applyFont="1" applyAlignment="1">
      <alignment horizontal="center"/>
    </xf>
    <xf numFmtId="0" fontId="4" fillId="0" borderId="23" xfId="0" applyFont="1" applyBorder="1" applyAlignment="1">
      <alignment horizontal="center" vertical="top" wrapText="1"/>
    </xf>
    <xf numFmtId="0" fontId="4" fillId="0" borderId="21" xfId="0" applyFont="1" applyBorder="1" applyAlignment="1">
      <alignment horizontal="center" vertical="top" wrapText="1"/>
    </xf>
    <xf numFmtId="0" fontId="4" fillId="0" borderId="17" xfId="0" applyFont="1" applyBorder="1" applyAlignment="1">
      <alignment horizontal="center" vertical="top" wrapText="1"/>
    </xf>
    <xf numFmtId="0" fontId="4" fillId="0" borderId="23" xfId="0" applyNumberFormat="1" applyFont="1" applyBorder="1" applyAlignment="1">
      <alignment horizontal="center" vertical="top" wrapText="1"/>
    </xf>
    <xf numFmtId="0" fontId="4" fillId="0" borderId="21" xfId="0" applyNumberFormat="1" applyFont="1" applyBorder="1" applyAlignment="1">
      <alignment horizontal="center" vertical="top" wrapText="1"/>
    </xf>
    <xf numFmtId="0" fontId="4" fillId="0" borderId="17" xfId="0" applyNumberFormat="1" applyFont="1" applyBorder="1" applyAlignment="1">
      <alignment horizontal="center" vertical="top" wrapText="1"/>
    </xf>
    <xf numFmtId="0" fontId="19" fillId="33" borderId="10" xfId="61" applyFont="1" applyFill="1" applyBorder="1" applyAlignment="1">
      <alignment horizontal="center" vertical="top" wrapText="1"/>
      <protection/>
    </xf>
    <xf numFmtId="0" fontId="19" fillId="33" borderId="22" xfId="61" applyFont="1" applyFill="1" applyBorder="1" applyAlignment="1">
      <alignment horizontal="center" vertical="top" wrapText="1"/>
      <protection/>
    </xf>
    <xf numFmtId="0" fontId="19" fillId="0" borderId="0" xfId="61" applyFont="1" applyAlignment="1">
      <alignment horizontal="center" vertical="center" wrapText="1"/>
      <protection/>
    </xf>
    <xf numFmtId="0" fontId="20" fillId="0" borderId="0" xfId="61" applyFont="1" applyAlignment="1">
      <alignment horizontal="center" vertical="center" wrapText="1"/>
      <protection/>
    </xf>
    <xf numFmtId="0" fontId="19" fillId="33" borderId="26" xfId="61" applyFont="1" applyFill="1" applyBorder="1" applyAlignment="1">
      <alignment horizontal="center" vertical="top" wrapText="1"/>
      <protection/>
    </xf>
    <xf numFmtId="0" fontId="19" fillId="33" borderId="18" xfId="61" applyFont="1" applyFill="1" applyBorder="1" applyAlignment="1">
      <alignment horizontal="center" vertical="top" wrapText="1"/>
      <protection/>
    </xf>
    <xf numFmtId="0" fontId="8" fillId="0" borderId="0" xfId="61" applyFont="1" applyAlignment="1">
      <alignment horizontal="center" vertical="center" wrapText="1"/>
      <protection/>
    </xf>
    <xf numFmtId="0" fontId="3" fillId="0" borderId="13" xfId="61" applyFont="1" applyBorder="1" applyAlignment="1">
      <alignment horizontal="center" vertical="top" wrapText="1"/>
      <protection/>
    </xf>
    <xf numFmtId="0" fontId="20" fillId="0" borderId="0" xfId="61" applyFont="1" applyAlignment="1">
      <alignment horizontal="center" vertical="center"/>
      <protection/>
    </xf>
    <xf numFmtId="0" fontId="72" fillId="0" borderId="0" xfId="61" applyFont="1" applyAlignment="1">
      <alignment horizontal="center" vertical="center" wrapText="1"/>
      <protection/>
    </xf>
    <xf numFmtId="0" fontId="73" fillId="0" borderId="13" xfId="61" applyFont="1" applyBorder="1" applyAlignment="1">
      <alignment horizontal="center" vertical="top" wrapText="1"/>
      <protection/>
    </xf>
    <xf numFmtId="0" fontId="70" fillId="0" borderId="13" xfId="61" applyFont="1" applyBorder="1" applyAlignment="1">
      <alignment horizontal="center" vertical="top" wrapText="1"/>
      <protection/>
    </xf>
    <xf numFmtId="0" fontId="14" fillId="0" borderId="13" xfId="61" applyFont="1" applyBorder="1" applyAlignment="1">
      <alignment horizontal="center" vertical="center" wrapText="1"/>
      <protection/>
    </xf>
    <xf numFmtId="0" fontId="4" fillId="0" borderId="0" xfId="61" applyFont="1" applyAlignment="1">
      <alignment horizontal="center" vertical="center"/>
      <protection/>
    </xf>
    <xf numFmtId="0" fontId="14" fillId="0" borderId="0" xfId="61" applyFont="1" applyAlignment="1">
      <alignment horizontal="center" vertical="center"/>
      <protection/>
    </xf>
    <xf numFmtId="0" fontId="4" fillId="0" borderId="13" xfId="0" applyNumberFormat="1" applyFont="1" applyFill="1" applyBorder="1" applyAlignment="1">
      <alignment horizontal="center" vertical="top" wrapText="1"/>
    </xf>
    <xf numFmtId="0" fontId="14" fillId="0" borderId="0" xfId="60" applyFont="1" applyFill="1" applyBorder="1">
      <alignment/>
      <protection/>
    </xf>
    <xf numFmtId="0" fontId="9" fillId="0" borderId="0" xfId="60" applyFont="1" applyFill="1" applyAlignment="1">
      <alignment horizontal="center"/>
      <protection/>
    </xf>
    <xf numFmtId="0" fontId="20" fillId="0" borderId="0" xfId="60" applyFont="1" applyFill="1" applyAlignment="1">
      <alignment horizontal="center"/>
      <protection/>
    </xf>
    <xf numFmtId="0" fontId="13" fillId="0" borderId="23" xfId="60" applyFont="1" applyFill="1" applyBorder="1" applyAlignment="1">
      <alignment horizontal="center" vertical="center"/>
      <protection/>
    </xf>
    <xf numFmtId="0" fontId="13" fillId="0" borderId="17" xfId="60" applyFont="1" applyFill="1" applyBorder="1" applyAlignment="1">
      <alignment horizontal="center" vertical="center"/>
      <protection/>
    </xf>
    <xf numFmtId="0" fontId="13" fillId="0" borderId="13" xfId="60" applyFont="1" applyFill="1" applyBorder="1" applyAlignment="1">
      <alignment horizontal="center" vertical="top"/>
      <protection/>
    </xf>
    <xf numFmtId="0" fontId="13" fillId="0" borderId="13" xfId="60" applyFont="1" applyFill="1" applyBorder="1" applyAlignment="1">
      <alignment horizontal="center"/>
      <protection/>
    </xf>
    <xf numFmtId="0" fontId="22" fillId="0" borderId="27" xfId="0" applyFont="1" applyBorder="1" applyAlignment="1">
      <alignment horizontal="left" vertical="center" wrapText="1"/>
    </xf>
    <xf numFmtId="0" fontId="19" fillId="33" borderId="13" xfId="0" applyFont="1" applyFill="1" applyBorder="1" applyAlignment="1">
      <alignment horizontal="center" vertical="top" wrapText="1"/>
    </xf>
    <xf numFmtId="0" fontId="19" fillId="0" borderId="0" xfId="0" applyFont="1" applyAlignment="1">
      <alignment horizontal="right" vertical="center" wrapText="1"/>
    </xf>
    <xf numFmtId="0" fontId="8" fillId="0" borderId="0" xfId="0" applyFont="1" applyAlignment="1">
      <alignment horizontal="center" vertical="center" wrapText="1"/>
    </xf>
    <xf numFmtId="0" fontId="20" fillId="0" borderId="25" xfId="0" applyFont="1" applyBorder="1" applyAlignment="1">
      <alignment horizontal="right" vertical="center" wrapText="1"/>
    </xf>
    <xf numFmtId="0" fontId="20" fillId="0" borderId="13" xfId="61" applyFont="1" applyBorder="1" applyAlignment="1">
      <alignment horizontal="center" vertical="top" wrapText="1"/>
      <protection/>
    </xf>
    <xf numFmtId="0" fontId="20" fillId="0" borderId="28" xfId="61" applyFont="1" applyBorder="1" applyAlignment="1">
      <alignment horizontal="center" vertical="top" wrapText="1"/>
      <protection/>
    </xf>
    <xf numFmtId="0" fontId="20" fillId="0" borderId="27" xfId="61" applyFont="1" applyBorder="1" applyAlignment="1">
      <alignment horizontal="center" vertical="top" wrapText="1"/>
      <protection/>
    </xf>
    <xf numFmtId="0" fontId="20" fillId="0" borderId="26" xfId="61" applyFont="1" applyBorder="1" applyAlignment="1">
      <alignment horizontal="center" vertical="top" wrapText="1"/>
      <protection/>
    </xf>
    <xf numFmtId="0" fontId="46" fillId="0" borderId="29" xfId="0" applyFont="1" applyBorder="1" applyAlignment="1">
      <alignment horizontal="center" vertical="top" wrapText="1"/>
    </xf>
    <xf numFmtId="0" fontId="46" fillId="0" borderId="0" xfId="0" applyFont="1" applyAlignment="1">
      <alignment horizontal="center" vertical="top" wrapText="1"/>
    </xf>
    <xf numFmtId="0" fontId="46" fillId="0" borderId="30" xfId="0" applyFont="1" applyBorder="1" applyAlignment="1">
      <alignment horizontal="center" vertical="top" wrapText="1"/>
    </xf>
    <xf numFmtId="0" fontId="46" fillId="0" borderId="31" xfId="0" applyFont="1" applyBorder="1" applyAlignment="1">
      <alignment horizontal="center" vertical="top" wrapText="1"/>
    </xf>
    <xf numFmtId="0" fontId="46" fillId="0" borderId="25" xfId="0" applyFont="1" applyBorder="1" applyAlignment="1">
      <alignment horizontal="center" vertical="top" wrapText="1"/>
    </xf>
    <xf numFmtId="0" fontId="46" fillId="0" borderId="18" xfId="0" applyFont="1" applyBorder="1" applyAlignment="1">
      <alignment horizontal="center" vertical="top" wrapText="1"/>
    </xf>
    <xf numFmtId="0" fontId="19" fillId="0" borderId="0" xfId="61" applyFont="1" applyAlignment="1">
      <alignment horizontal="center" vertical="center"/>
      <protection/>
    </xf>
    <xf numFmtId="0" fontId="21" fillId="0" borderId="0" xfId="61" applyFont="1" applyAlignment="1">
      <alignment horizontal="left" vertical="center" wrapText="1"/>
      <protection/>
    </xf>
    <xf numFmtId="0" fontId="19" fillId="0" borderId="0" xfId="61" applyFont="1" applyAlignment="1">
      <alignment horizontal="right" vertical="center" wrapText="1"/>
      <protection/>
    </xf>
    <xf numFmtId="0" fontId="20" fillId="0" borderId="25" xfId="61" applyFont="1" applyBorder="1" applyAlignment="1">
      <alignment horizontal="right" vertical="center" wrapText="1"/>
      <protection/>
    </xf>
    <xf numFmtId="0" fontId="19" fillId="33" borderId="23" xfId="61" applyFont="1" applyFill="1" applyBorder="1" applyAlignment="1">
      <alignment horizontal="center" vertical="top" wrapText="1"/>
      <protection/>
    </xf>
    <xf numFmtId="0" fontId="19" fillId="33" borderId="17" xfId="61" applyFont="1" applyFill="1" applyBorder="1" applyAlignment="1">
      <alignment horizontal="center" vertical="top" wrapText="1"/>
      <protection/>
    </xf>
    <xf numFmtId="0" fontId="19" fillId="33" borderId="13" xfId="61" applyFont="1" applyFill="1" applyBorder="1" applyAlignment="1">
      <alignment horizontal="center" vertical="top" wrapText="1"/>
      <protection/>
    </xf>
    <xf numFmtId="0" fontId="19" fillId="33" borderId="13" xfId="61" applyFont="1" applyFill="1" applyBorder="1" applyAlignment="1">
      <alignment horizontal="center" vertical="center" wrapText="1"/>
      <protection/>
    </xf>
    <xf numFmtId="0" fontId="4" fillId="0" borderId="0" xfId="61" applyFont="1" applyAlignment="1">
      <alignment horizontal="center" vertical="center" wrapText="1"/>
      <protection/>
    </xf>
    <xf numFmtId="0" fontId="21" fillId="0" borderId="0" xfId="61" applyFont="1" applyBorder="1" applyAlignment="1">
      <alignment horizontal="center" vertical="center" wrapText="1"/>
      <protection/>
    </xf>
    <xf numFmtId="0" fontId="4" fillId="0" borderId="0" xfId="61" applyFont="1" applyAlignment="1">
      <alignment horizontal="right" vertical="center"/>
      <protection/>
    </xf>
    <xf numFmtId="0" fontId="72" fillId="0" borderId="0" xfId="61" applyFont="1" applyAlignment="1">
      <alignment horizontal="center" vertical="center"/>
      <protection/>
    </xf>
    <xf numFmtId="0" fontId="76" fillId="0" borderId="13" xfId="61" applyFont="1" applyBorder="1" applyAlignment="1">
      <alignment horizontal="center" vertical="top" wrapText="1"/>
      <protection/>
    </xf>
    <xf numFmtId="0" fontId="14" fillId="0" borderId="13" xfId="61" applyFont="1" applyBorder="1" applyAlignment="1">
      <alignment horizontal="center" vertical="top" wrapText="1"/>
      <protection/>
    </xf>
    <xf numFmtId="0" fontId="3" fillId="0" borderId="13" xfId="0" applyFont="1" applyBorder="1" applyAlignment="1">
      <alignment horizontal="center" vertical="top" wrapText="1"/>
    </xf>
    <xf numFmtId="0" fontId="3" fillId="0" borderId="24" xfId="0" applyFont="1" applyBorder="1" applyAlignment="1">
      <alignment horizontal="center" vertical="top"/>
    </xf>
    <xf numFmtId="0" fontId="20" fillId="0" borderId="32" xfId="0" applyFont="1" applyBorder="1" applyAlignment="1">
      <alignment horizontal="center" vertical="top"/>
    </xf>
    <xf numFmtId="0" fontId="20" fillId="0" borderId="33" xfId="0" applyFont="1" applyBorder="1" applyAlignment="1">
      <alignment horizontal="center" vertical="top"/>
    </xf>
    <xf numFmtId="0" fontId="8" fillId="0" borderId="0" xfId="0" applyFont="1" applyAlignment="1">
      <alignment horizontal="center" vertical="center"/>
    </xf>
    <xf numFmtId="0" fontId="4" fillId="0" borderId="0" xfId="0" applyFont="1" applyAlignment="1">
      <alignment horizontal="center" vertical="center"/>
    </xf>
    <xf numFmtId="0" fontId="3" fillId="0" borderId="28" xfId="0" applyFont="1" applyBorder="1" applyAlignment="1">
      <alignment horizontal="center" vertical="top" wrapText="1"/>
    </xf>
    <xf numFmtId="0" fontId="3" fillId="0" borderId="27" xfId="0" applyFont="1" applyBorder="1" applyAlignment="1">
      <alignment horizontal="center" vertical="top" wrapText="1"/>
    </xf>
    <xf numFmtId="0" fontId="3" fillId="0" borderId="26" xfId="0" applyFont="1" applyBorder="1" applyAlignment="1">
      <alignment horizontal="center" vertical="top" wrapText="1"/>
    </xf>
    <xf numFmtId="0" fontId="20" fillId="0" borderId="31" xfId="0" applyFont="1" applyBorder="1" applyAlignment="1">
      <alignment horizontal="center" vertical="top" wrapText="1"/>
    </xf>
    <xf numFmtId="0" fontId="20" fillId="0" borderId="25" xfId="0" applyFont="1" applyBorder="1" applyAlignment="1">
      <alignment horizontal="center" vertical="top" wrapText="1"/>
    </xf>
    <xf numFmtId="0" fontId="20" fillId="0" borderId="18" xfId="0" applyFont="1" applyBorder="1" applyAlignment="1">
      <alignment horizontal="center" vertical="top" wrapText="1"/>
    </xf>
    <xf numFmtId="0" fontId="70" fillId="0" borderId="0" xfId="61" applyFont="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3" xfId="57"/>
    <cellStyle name="Normal 2" xfId="58"/>
    <cellStyle name="Normal 3" xfId="59"/>
    <cellStyle name="Normal 4" xfId="60"/>
    <cellStyle name="Normal 5" xfId="61"/>
    <cellStyle name="Normal 5 2" xfId="62"/>
    <cellStyle name="Normal 7"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QUAN\Ckhai-ns\2017\Cong%20khai%20QTNS%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THO\B01%20DT%20thu%20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THO\B02%20DT%20chi%202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CQUAN\Dtoan-ns\2019\TRINH-HD\DT%202019%20trinh%20H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S77-CKDT%202020%20trinh%20H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pc\Downloads\TM%20nguon%20chi%20CCTL%202020%20cua%2016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96"/>
      <sheetName val="BS97"/>
      <sheetName val="BS98"/>
      <sheetName val="BS99"/>
      <sheetName val="BS100"/>
      <sheetName val="BS101"/>
      <sheetName val="BS102"/>
      <sheetName val="nhap"/>
      <sheetName val="Sheet1"/>
    </sheetNames>
    <sheetDataSet>
      <sheetData sheetId="0">
        <row r="5">
          <cell r="F5" t="str">
            <v>ĐV: Triệu đồng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uth"/>
      <sheetName val="dt"/>
    </sheetNames>
    <sheetDataSet>
      <sheetData sheetId="0">
        <row r="12">
          <cell r="B12">
            <v>2600</v>
          </cell>
          <cell r="F12">
            <v>11000</v>
          </cell>
          <cell r="J12">
            <v>14000</v>
          </cell>
        </row>
        <row r="13">
          <cell r="B13">
            <v>2600</v>
          </cell>
          <cell r="F13">
            <v>2600</v>
          </cell>
          <cell r="J13">
            <v>3000</v>
          </cell>
        </row>
        <row r="14">
          <cell r="C14">
            <v>137824</v>
          </cell>
          <cell r="D14">
            <v>137824</v>
          </cell>
          <cell r="G14">
            <v>118667</v>
          </cell>
          <cell r="H14">
            <v>118667</v>
          </cell>
          <cell r="K14">
            <v>135280</v>
          </cell>
          <cell r="L14">
            <v>135280</v>
          </cell>
        </row>
        <row r="15">
          <cell r="B15">
            <v>539500</v>
          </cell>
          <cell r="F15">
            <v>475650</v>
          </cell>
          <cell r="J15">
            <v>550000</v>
          </cell>
        </row>
        <row r="16">
          <cell r="B16">
            <v>222300</v>
          </cell>
          <cell r="F16">
            <v>180000</v>
          </cell>
          <cell r="J16">
            <v>196000</v>
          </cell>
        </row>
        <row r="17">
          <cell r="B17">
            <v>2300</v>
          </cell>
          <cell r="F17">
            <v>1100</v>
          </cell>
          <cell r="J17">
            <v>1000</v>
          </cell>
        </row>
        <row r="20">
          <cell r="B20">
            <v>700</v>
          </cell>
          <cell r="F20">
            <v>650</v>
          </cell>
          <cell r="J20">
            <v>1000</v>
          </cell>
        </row>
        <row r="22">
          <cell r="B22">
            <v>210000</v>
          </cell>
          <cell r="C22">
            <v>25200</v>
          </cell>
          <cell r="F22">
            <v>228000</v>
          </cell>
          <cell r="G22">
            <v>26940</v>
          </cell>
          <cell r="J22">
            <v>241000</v>
          </cell>
          <cell r="K22">
            <v>28920</v>
          </cell>
        </row>
        <row r="23">
          <cell r="D23">
            <v>25200</v>
          </cell>
          <cell r="H23">
            <v>26940</v>
          </cell>
          <cell r="L23">
            <v>28920</v>
          </cell>
        </row>
        <row r="24">
          <cell r="B24">
            <v>245000</v>
          </cell>
          <cell r="F24">
            <v>215300</v>
          </cell>
          <cell r="J24">
            <v>255000</v>
          </cell>
        </row>
        <row r="25">
          <cell r="B25">
            <v>9000</v>
          </cell>
          <cell r="C25">
            <v>9000</v>
          </cell>
          <cell r="E25">
            <v>9000</v>
          </cell>
          <cell r="F25">
            <v>11000</v>
          </cell>
          <cell r="G25">
            <v>11000</v>
          </cell>
          <cell r="I25">
            <v>11000</v>
          </cell>
          <cell r="J25">
            <v>8000</v>
          </cell>
          <cell r="K25">
            <v>8000</v>
          </cell>
          <cell r="M25">
            <v>8000</v>
          </cell>
        </row>
        <row r="26">
          <cell r="B26">
            <v>30000</v>
          </cell>
          <cell r="F26">
            <v>163000</v>
          </cell>
          <cell r="J26">
            <v>60000</v>
          </cell>
        </row>
        <row r="27">
          <cell r="B27">
            <v>130000</v>
          </cell>
          <cell r="F27">
            <v>119000</v>
          </cell>
          <cell r="J27">
            <v>100000</v>
          </cell>
        </row>
        <row r="28">
          <cell r="B28">
            <v>2000</v>
          </cell>
          <cell r="F28">
            <v>700</v>
          </cell>
        </row>
        <row r="30">
          <cell r="B30">
            <v>47600</v>
          </cell>
          <cell r="C30">
            <v>5603</v>
          </cell>
          <cell r="D30">
            <v>1787</v>
          </cell>
          <cell r="E30">
            <v>3816</v>
          </cell>
          <cell r="F30">
            <v>50941</v>
          </cell>
          <cell r="G30">
            <v>5538</v>
          </cell>
          <cell r="H30">
            <v>1400</v>
          </cell>
          <cell r="I30">
            <v>4138</v>
          </cell>
          <cell r="J30">
            <v>72600</v>
          </cell>
          <cell r="K30">
            <v>8546</v>
          </cell>
          <cell r="L30">
            <v>4393</v>
          </cell>
          <cell r="M30">
            <v>4153</v>
          </cell>
        </row>
        <row r="31">
          <cell r="B31">
            <v>17400</v>
          </cell>
          <cell r="C31">
            <v>17400</v>
          </cell>
          <cell r="D31">
            <v>13669</v>
          </cell>
          <cell r="E31">
            <v>3731</v>
          </cell>
          <cell r="F31">
            <v>18059</v>
          </cell>
          <cell r="G31">
            <v>18059</v>
          </cell>
          <cell r="H31">
            <v>13670</v>
          </cell>
          <cell r="I31">
            <v>4389</v>
          </cell>
          <cell r="J31">
            <v>17400</v>
          </cell>
          <cell r="K31">
            <v>17400</v>
          </cell>
          <cell r="L31">
            <v>13300</v>
          </cell>
          <cell r="M31">
            <v>4100</v>
          </cell>
        </row>
        <row r="32">
          <cell r="B32">
            <v>50000</v>
          </cell>
          <cell r="C32">
            <v>8021</v>
          </cell>
          <cell r="D32">
            <v>6677</v>
          </cell>
          <cell r="E32">
            <v>1344</v>
          </cell>
          <cell r="F32">
            <v>50000</v>
          </cell>
          <cell r="G32">
            <v>17294</v>
          </cell>
          <cell r="H32">
            <v>13000</v>
          </cell>
          <cell r="I32">
            <v>4294</v>
          </cell>
          <cell r="J32">
            <v>58000</v>
          </cell>
          <cell r="K32">
            <v>9304</v>
          </cell>
          <cell r="L32">
            <v>7309</v>
          </cell>
          <cell r="M32">
            <v>1995</v>
          </cell>
        </row>
        <row r="33">
          <cell r="C33">
            <v>1096778</v>
          </cell>
          <cell r="E33">
            <v>182338</v>
          </cell>
          <cell r="G33">
            <v>1107224</v>
          </cell>
          <cell r="I33">
            <v>190737</v>
          </cell>
          <cell r="K33">
            <v>984297</v>
          </cell>
          <cell r="L33">
            <v>984297</v>
          </cell>
          <cell r="M33">
            <v>183719</v>
          </cell>
        </row>
        <row r="34">
          <cell r="C34">
            <v>0</v>
          </cell>
          <cell r="G34">
            <v>49952</v>
          </cell>
          <cell r="H34">
            <v>34882</v>
          </cell>
          <cell r="I34">
            <v>15070</v>
          </cell>
          <cell r="K34">
            <v>0</v>
          </cell>
        </row>
        <row r="35">
          <cell r="C35">
            <v>0</v>
          </cell>
          <cell r="G35">
            <v>278945</v>
          </cell>
          <cell r="H35">
            <v>253356</v>
          </cell>
          <cell r="I35">
            <v>25589</v>
          </cell>
        </row>
        <row r="36">
          <cell r="C36">
            <v>3145</v>
          </cell>
          <cell r="D36">
            <v>1382</v>
          </cell>
          <cell r="E36">
            <v>1763</v>
          </cell>
          <cell r="F36">
            <v>0</v>
          </cell>
          <cell r="K36">
            <v>22140</v>
          </cell>
          <cell r="L36">
            <v>18408</v>
          </cell>
          <cell r="M36">
            <v>3732</v>
          </cell>
        </row>
        <row r="37">
          <cell r="H37">
            <v>4021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uth"/>
      <sheetName val="dt"/>
      <sheetName val="giao"/>
      <sheetName val="uoct10"/>
    </sheetNames>
    <sheetDataSet>
      <sheetData sheetId="0">
        <row r="12">
          <cell r="B12">
            <v>1302971</v>
          </cell>
          <cell r="C12">
            <v>1375023</v>
          </cell>
          <cell r="D12">
            <v>1213887</v>
          </cell>
        </row>
        <row r="14">
          <cell r="B14">
            <v>123293</v>
          </cell>
          <cell r="C14">
            <v>129093</v>
          </cell>
          <cell r="D14">
            <v>0</v>
          </cell>
        </row>
        <row r="19">
          <cell r="B19">
            <v>1179678</v>
          </cell>
          <cell r="C19">
            <v>1215724</v>
          </cell>
          <cell r="D19">
            <v>1213887</v>
          </cell>
        </row>
        <row r="20">
          <cell r="B20">
            <v>140651</v>
          </cell>
          <cell r="C20">
            <v>138768</v>
          </cell>
          <cell r="D20">
            <v>152714</v>
          </cell>
        </row>
        <row r="25">
          <cell r="C25">
            <v>3559</v>
          </cell>
          <cell r="D25">
            <v>6970</v>
          </cell>
        </row>
        <row r="29">
          <cell r="B29">
            <v>80605</v>
          </cell>
          <cell r="C29">
            <v>83886</v>
          </cell>
          <cell r="D29">
            <v>87928</v>
          </cell>
        </row>
        <row r="32">
          <cell r="B32">
            <v>513153</v>
          </cell>
          <cell r="C32">
            <v>534542</v>
          </cell>
          <cell r="D32">
            <v>529041</v>
          </cell>
        </row>
        <row r="37">
          <cell r="B37">
            <v>106757</v>
          </cell>
          <cell r="C37">
            <v>108692</v>
          </cell>
          <cell r="D37">
            <v>111016</v>
          </cell>
        </row>
        <row r="38">
          <cell r="B38">
            <v>4355</v>
          </cell>
          <cell r="C38">
            <v>5026</v>
          </cell>
          <cell r="D38">
            <v>4419</v>
          </cell>
        </row>
        <row r="39">
          <cell r="B39">
            <v>1985</v>
          </cell>
          <cell r="C39">
            <v>2744</v>
          </cell>
          <cell r="D39">
            <v>2310</v>
          </cell>
        </row>
        <row r="40">
          <cell r="B40">
            <v>97209</v>
          </cell>
          <cell r="C40">
            <v>97811</v>
          </cell>
          <cell r="D40">
            <v>92853</v>
          </cell>
        </row>
        <row r="41">
          <cell r="B41">
            <v>63598</v>
          </cell>
          <cell r="C41">
            <v>84325</v>
          </cell>
          <cell r="D41">
            <v>71959</v>
          </cell>
        </row>
        <row r="47">
          <cell r="B47">
            <v>8013</v>
          </cell>
          <cell r="C47">
            <v>8564</v>
          </cell>
          <cell r="D47">
            <v>8291</v>
          </cell>
        </row>
        <row r="48">
          <cell r="B48">
            <v>2568</v>
          </cell>
          <cell r="C48">
            <v>5891</v>
          </cell>
          <cell r="D48">
            <v>2962</v>
          </cell>
        </row>
        <row r="49">
          <cell r="B49">
            <v>201992</v>
          </cell>
          <cell r="C49">
            <v>225288</v>
          </cell>
          <cell r="D49">
            <v>205699</v>
          </cell>
        </row>
        <row r="52">
          <cell r="B52">
            <v>15767</v>
          </cell>
          <cell r="C52">
            <v>4073</v>
          </cell>
          <cell r="D52">
            <v>8993</v>
          </cell>
        </row>
        <row r="53">
          <cell r="B53">
            <v>23630</v>
          </cell>
          <cell r="D53">
            <v>23630</v>
          </cell>
        </row>
        <row r="55">
          <cell r="C55">
            <v>30206</v>
          </cell>
        </row>
        <row r="57">
          <cell r="C57">
            <v>4021</v>
          </cell>
        </row>
        <row r="58">
          <cell r="C5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12"/>
      <sheetName val="B13"/>
      <sheetName val="B14"/>
      <sheetName val="B15"/>
      <sheetName val="B16"/>
      <sheetName val="B17"/>
      <sheetName val="B19"/>
      <sheetName val="B20"/>
      <sheetName val="B21"/>
      <sheetName val="B22"/>
      <sheetName val="B23"/>
      <sheetName val="B24"/>
      <sheetName val="B25"/>
      <sheetName val="B26"/>
      <sheetName val="B27"/>
      <sheetName val="B28"/>
      <sheetName val="B29"/>
      <sheetName val="B30"/>
      <sheetName val="B31"/>
      <sheetName val="B32"/>
      <sheetName val="B33"/>
      <sheetName val="B34"/>
      <sheetName val="B35"/>
      <sheetName val="B37"/>
      <sheetName val="B38"/>
      <sheetName val="B39"/>
      <sheetName val="B41"/>
      <sheetName val="B42"/>
      <sheetName val="B45"/>
      <sheetName val="B47"/>
    </sheetNames>
    <sheetDataSet>
      <sheetData sheetId="20">
        <row r="30">
          <cell r="D30">
            <v>4324</v>
          </cell>
          <cell r="E30">
            <v>2106</v>
          </cell>
        </row>
      </sheetData>
      <sheetData sheetId="23">
        <row r="8">
          <cell r="P8">
            <v>13158</v>
          </cell>
          <cell r="Q8">
            <v>240</v>
          </cell>
        </row>
        <row r="9">
          <cell r="M9">
            <v>300</v>
          </cell>
          <cell r="P9">
            <v>3966</v>
          </cell>
        </row>
        <row r="10">
          <cell r="P10">
            <v>2417</v>
          </cell>
        </row>
        <row r="11">
          <cell r="I11">
            <v>300</v>
          </cell>
          <cell r="P11">
            <v>2118</v>
          </cell>
        </row>
        <row r="12">
          <cell r="D12">
            <v>100</v>
          </cell>
          <cell r="H12">
            <v>31306</v>
          </cell>
          <cell r="P12">
            <v>2075</v>
          </cell>
          <cell r="Q12">
            <v>90639</v>
          </cell>
        </row>
        <row r="13">
          <cell r="P13">
            <v>6256</v>
          </cell>
        </row>
        <row r="14">
          <cell r="I14">
            <v>240</v>
          </cell>
          <cell r="L14">
            <v>68557</v>
          </cell>
          <cell r="M14">
            <v>6709</v>
          </cell>
          <cell r="P14">
            <v>4283</v>
          </cell>
        </row>
        <row r="15">
          <cell r="P15">
            <v>1846</v>
          </cell>
        </row>
        <row r="16">
          <cell r="P16">
            <v>2024</v>
          </cell>
        </row>
        <row r="17">
          <cell r="P17">
            <v>6305</v>
          </cell>
        </row>
        <row r="18">
          <cell r="P18">
            <v>3310</v>
          </cell>
        </row>
        <row r="19">
          <cell r="H19">
            <v>374</v>
          </cell>
          <cell r="P19">
            <v>1154</v>
          </cell>
        </row>
        <row r="21">
          <cell r="H21">
            <v>45713</v>
          </cell>
        </row>
        <row r="22">
          <cell r="H22">
            <v>8972</v>
          </cell>
        </row>
        <row r="23">
          <cell r="I23">
            <v>2177</v>
          </cell>
        </row>
        <row r="24">
          <cell r="I24">
            <v>1478</v>
          </cell>
        </row>
        <row r="25">
          <cell r="K25">
            <v>1985</v>
          </cell>
        </row>
        <row r="26">
          <cell r="D26">
            <v>2645</v>
          </cell>
        </row>
        <row r="27">
          <cell r="F27">
            <v>8013</v>
          </cell>
        </row>
        <row r="28">
          <cell r="G28">
            <v>2468</v>
          </cell>
        </row>
        <row r="29">
          <cell r="P29">
            <v>3930</v>
          </cell>
        </row>
        <row r="30">
          <cell r="P30">
            <v>2848</v>
          </cell>
        </row>
        <row r="31">
          <cell r="P31">
            <v>2378</v>
          </cell>
        </row>
        <row r="32">
          <cell r="P32">
            <v>1287</v>
          </cell>
        </row>
        <row r="33">
          <cell r="P33">
            <v>1263</v>
          </cell>
        </row>
        <row r="86">
          <cell r="D86">
            <v>4535</v>
          </cell>
        </row>
        <row r="89">
          <cell r="D89">
            <v>6475</v>
          </cell>
        </row>
        <row r="90">
          <cell r="P90">
            <v>222</v>
          </cell>
        </row>
        <row r="91">
          <cell r="P91">
            <v>60</v>
          </cell>
        </row>
        <row r="92">
          <cell r="P92">
            <v>253</v>
          </cell>
        </row>
        <row r="93">
          <cell r="P93">
            <v>168</v>
          </cell>
        </row>
        <row r="94">
          <cell r="P94">
            <v>71</v>
          </cell>
        </row>
        <row r="95">
          <cell r="P95">
            <v>41</v>
          </cell>
        </row>
        <row r="96">
          <cell r="H96">
            <v>15630</v>
          </cell>
          <cell r="Q96">
            <v>1537</v>
          </cell>
        </row>
        <row r="97">
          <cell r="R97">
            <v>756</v>
          </cell>
        </row>
        <row r="98">
          <cell r="R98">
            <v>522</v>
          </cell>
        </row>
        <row r="99">
          <cell r="R99">
            <v>522</v>
          </cell>
        </row>
        <row r="100">
          <cell r="R100">
            <v>85</v>
          </cell>
        </row>
        <row r="103">
          <cell r="M103">
            <v>533</v>
          </cell>
        </row>
        <row r="123">
          <cell r="M123">
            <v>284</v>
          </cell>
        </row>
      </sheetData>
      <sheetData sheetId="28">
        <row r="8">
          <cell r="I8">
            <v>16000</v>
          </cell>
          <cell r="J8">
            <v>2000</v>
          </cell>
          <cell r="K8">
            <v>15000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12"/>
      <sheetName val="B13"/>
      <sheetName val="B14"/>
      <sheetName val="B15"/>
      <sheetName val="B16"/>
      <sheetName val="B17"/>
      <sheetName val="B19"/>
      <sheetName val="B20"/>
      <sheetName val="B21"/>
      <sheetName val="B22"/>
      <sheetName val="B23"/>
      <sheetName val="B24"/>
      <sheetName val="B25"/>
      <sheetName val="B26"/>
      <sheetName val="B27"/>
      <sheetName val="B28"/>
      <sheetName val="B29"/>
      <sheetName val="B30"/>
      <sheetName val="B31"/>
      <sheetName val="B32"/>
      <sheetName val="B33"/>
      <sheetName val="B34"/>
      <sheetName val="B35"/>
      <sheetName val="B37"/>
      <sheetName val="B38"/>
      <sheetName val="BS77"/>
      <sheetName val="B41"/>
      <sheetName val="B42"/>
      <sheetName val="B45"/>
      <sheetName val="B47"/>
    </sheetNames>
    <sheetDataSet>
      <sheetData sheetId="19">
        <row r="9">
          <cell r="C9">
            <v>1186</v>
          </cell>
          <cell r="G9">
            <v>646</v>
          </cell>
          <cell r="H9">
            <v>352</v>
          </cell>
          <cell r="I9">
            <v>110</v>
          </cell>
          <cell r="J9">
            <v>78</v>
          </cell>
        </row>
        <row r="10">
          <cell r="C10">
            <v>1261</v>
          </cell>
          <cell r="G10">
            <v>560</v>
          </cell>
          <cell r="H10">
            <v>220</v>
          </cell>
          <cell r="I10">
            <v>323</v>
          </cell>
          <cell r="J10">
            <v>158</v>
          </cell>
        </row>
        <row r="11">
          <cell r="C11">
            <v>1044</v>
          </cell>
          <cell r="G11">
            <v>335</v>
          </cell>
          <cell r="H11">
            <v>446</v>
          </cell>
          <cell r="I11">
            <v>164</v>
          </cell>
          <cell r="J11">
            <v>99</v>
          </cell>
        </row>
        <row r="12">
          <cell r="C12">
            <v>1841</v>
          </cell>
          <cell r="G12">
            <v>791</v>
          </cell>
          <cell r="H12">
            <v>564</v>
          </cell>
          <cell r="I12">
            <v>363</v>
          </cell>
          <cell r="J12">
            <v>123</v>
          </cell>
        </row>
        <row r="13">
          <cell r="C13">
            <v>1777</v>
          </cell>
          <cell r="G13">
            <v>720</v>
          </cell>
          <cell r="H13">
            <v>447</v>
          </cell>
          <cell r="I13">
            <v>398</v>
          </cell>
          <cell r="J13">
            <v>212</v>
          </cell>
        </row>
        <row r="14">
          <cell r="C14">
            <v>1195</v>
          </cell>
          <cell r="G14">
            <v>710</v>
          </cell>
          <cell r="H14">
            <v>186</v>
          </cell>
          <cell r="I14">
            <v>210</v>
          </cell>
          <cell r="J14">
            <v>89</v>
          </cell>
        </row>
        <row r="15">
          <cell r="C15">
            <v>3134</v>
          </cell>
          <cell r="G15">
            <v>1245</v>
          </cell>
          <cell r="H15">
            <v>220</v>
          </cell>
          <cell r="I15">
            <v>1427</v>
          </cell>
          <cell r="J15">
            <v>242</v>
          </cell>
        </row>
        <row r="16">
          <cell r="C16">
            <v>358</v>
          </cell>
          <cell r="G16">
            <v>129</v>
          </cell>
          <cell r="H16">
            <v>144</v>
          </cell>
          <cell r="I16">
            <v>70</v>
          </cell>
          <cell r="J16">
            <v>15</v>
          </cell>
        </row>
        <row r="17">
          <cell r="C17">
            <v>741</v>
          </cell>
          <cell r="G17">
            <v>299</v>
          </cell>
          <cell r="H17">
            <v>215</v>
          </cell>
          <cell r="I17">
            <v>123</v>
          </cell>
          <cell r="J17">
            <v>104</v>
          </cell>
        </row>
        <row r="18">
          <cell r="C18">
            <v>509</v>
          </cell>
          <cell r="G18">
            <v>169</v>
          </cell>
          <cell r="H18">
            <v>189</v>
          </cell>
          <cell r="I18">
            <v>96</v>
          </cell>
          <cell r="J18">
            <v>55</v>
          </cell>
        </row>
        <row r="19">
          <cell r="C19">
            <v>476</v>
          </cell>
          <cell r="G19">
            <v>205</v>
          </cell>
          <cell r="H19">
            <v>97</v>
          </cell>
          <cell r="I19">
            <v>136</v>
          </cell>
          <cell r="J19">
            <v>38</v>
          </cell>
        </row>
        <row r="20">
          <cell r="C20">
            <v>642</v>
          </cell>
          <cell r="G20">
            <v>239</v>
          </cell>
          <cell r="H20">
            <v>204</v>
          </cell>
          <cell r="I20">
            <v>139</v>
          </cell>
          <cell r="J20">
            <v>60</v>
          </cell>
        </row>
        <row r="21">
          <cell r="C21">
            <v>479</v>
          </cell>
          <cell r="G21">
            <v>175</v>
          </cell>
          <cell r="H21">
            <v>128</v>
          </cell>
          <cell r="I21">
            <v>143</v>
          </cell>
          <cell r="J21">
            <v>33</v>
          </cell>
        </row>
        <row r="22">
          <cell r="C22">
            <v>539</v>
          </cell>
          <cell r="G22">
            <v>222</v>
          </cell>
          <cell r="H22">
            <v>168</v>
          </cell>
          <cell r="I22">
            <v>57</v>
          </cell>
          <cell r="J22">
            <v>92</v>
          </cell>
        </row>
        <row r="23">
          <cell r="C23">
            <v>1157</v>
          </cell>
          <cell r="G23">
            <v>379</v>
          </cell>
          <cell r="H23">
            <v>351</v>
          </cell>
          <cell r="I23">
            <v>114</v>
          </cell>
          <cell r="J23">
            <v>313</v>
          </cell>
        </row>
        <row r="24">
          <cell r="C24">
            <v>1909</v>
          </cell>
          <cell r="G24">
            <v>1176</v>
          </cell>
          <cell r="H24">
            <v>222</v>
          </cell>
          <cell r="I24">
            <v>227</v>
          </cell>
          <cell r="J24">
            <v>284</v>
          </cell>
        </row>
      </sheetData>
      <sheetData sheetId="26">
        <row r="10">
          <cell r="C10">
            <v>12109.193</v>
          </cell>
        </row>
        <row r="11">
          <cell r="C11">
            <v>13267.259</v>
          </cell>
        </row>
        <row r="12">
          <cell r="C12">
            <v>13506.218</v>
          </cell>
        </row>
        <row r="13">
          <cell r="C13">
            <v>16233.003</v>
          </cell>
        </row>
        <row r="14">
          <cell r="C14">
            <v>15683.266</v>
          </cell>
        </row>
        <row r="15">
          <cell r="C15">
            <v>13013.732</v>
          </cell>
        </row>
        <row r="16">
          <cell r="C16">
            <v>13399.463</v>
          </cell>
        </row>
        <row r="17">
          <cell r="C17">
            <v>10801.017</v>
          </cell>
        </row>
        <row r="18">
          <cell r="C18">
            <v>12867.363</v>
          </cell>
        </row>
        <row r="19">
          <cell r="C19">
            <v>12123.618</v>
          </cell>
        </row>
        <row r="20">
          <cell r="C20">
            <v>9963.279</v>
          </cell>
        </row>
        <row r="21">
          <cell r="C21">
            <v>12431.556</v>
          </cell>
        </row>
        <row r="22">
          <cell r="C22">
            <v>10388.532</v>
          </cell>
        </row>
        <row r="23">
          <cell r="C23">
            <v>12314.131</v>
          </cell>
        </row>
        <row r="24">
          <cell r="C24">
            <v>14461.871</v>
          </cell>
        </row>
        <row r="25">
          <cell r="C25">
            <v>13135.625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cu"/>
    </sheetNames>
    <sheetDataSet>
      <sheetData sheetId="0">
        <row r="9">
          <cell r="N9">
            <v>93</v>
          </cell>
        </row>
        <row r="10">
          <cell r="N10">
            <v>0</v>
          </cell>
        </row>
        <row r="11">
          <cell r="N11">
            <v>94</v>
          </cell>
        </row>
        <row r="12">
          <cell r="N12">
            <v>74</v>
          </cell>
        </row>
        <row r="13">
          <cell r="N13">
            <v>0</v>
          </cell>
        </row>
        <row r="14">
          <cell r="N14">
            <v>0</v>
          </cell>
        </row>
        <row r="15">
          <cell r="N15">
            <v>0</v>
          </cell>
        </row>
        <row r="16">
          <cell r="N16">
            <v>198</v>
          </cell>
        </row>
        <row r="17">
          <cell r="N17">
            <v>179</v>
          </cell>
        </row>
        <row r="18">
          <cell r="N18">
            <v>234</v>
          </cell>
        </row>
        <row r="19">
          <cell r="N19">
            <v>192</v>
          </cell>
        </row>
        <row r="20">
          <cell r="N20">
            <v>174</v>
          </cell>
        </row>
        <row r="21">
          <cell r="N21">
            <v>173</v>
          </cell>
        </row>
        <row r="22">
          <cell r="N22">
            <v>246</v>
          </cell>
        </row>
        <row r="23">
          <cell r="N23">
            <v>168</v>
          </cell>
        </row>
        <row r="24">
          <cell r="N24">
            <v>174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G42"/>
  <sheetViews>
    <sheetView showZeros="0" zoomScale="110" zoomScaleNormal="110" zoomScalePageLayoutView="0" workbookViewId="0" topLeftCell="A1">
      <selection activeCell="I14" sqref="I14:I15"/>
    </sheetView>
  </sheetViews>
  <sheetFormatPr defaultColWidth="9.140625" defaultRowHeight="15"/>
  <cols>
    <col min="1" max="1" width="5.8515625" style="2" customWidth="1"/>
    <col min="2" max="2" width="50.57421875" style="8" customWidth="1"/>
    <col min="3" max="3" width="12.28125" style="8" customWidth="1"/>
    <col min="4" max="4" width="11.8515625" style="8" customWidth="1"/>
    <col min="5" max="5" width="11.7109375" style="8" customWidth="1"/>
    <col min="6" max="6" width="9.421875" style="8" hidden="1" customWidth="1"/>
    <col min="7" max="7" width="9.8515625" style="8" customWidth="1"/>
    <col min="8" max="16384" width="9.140625" style="8" customWidth="1"/>
  </cols>
  <sheetData>
    <row r="1" spans="1:7" s="4" customFormat="1" ht="18.75" customHeight="1">
      <c r="A1" s="3" t="s">
        <v>500</v>
      </c>
      <c r="C1" s="5"/>
      <c r="G1" s="417" t="s">
        <v>511</v>
      </c>
    </row>
    <row r="2" spans="1:7" s="4" customFormat="1" ht="18.75" customHeight="1" hidden="1">
      <c r="A2" s="3"/>
      <c r="C2" s="5"/>
      <c r="G2" s="46"/>
    </row>
    <row r="3" spans="1:7" s="4" customFormat="1" ht="21" customHeight="1">
      <c r="A3" s="32" t="s">
        <v>512</v>
      </c>
      <c r="B3" s="6"/>
      <c r="C3" s="6"/>
      <c r="D3" s="6"/>
      <c r="E3" s="6"/>
      <c r="F3" s="6"/>
      <c r="G3" s="7"/>
    </row>
    <row r="4" spans="1:7" s="4" customFormat="1" ht="15.75">
      <c r="A4" s="425" t="s">
        <v>501</v>
      </c>
      <c r="B4" s="425"/>
      <c r="C4" s="425"/>
      <c r="D4" s="425"/>
      <c r="E4" s="425"/>
      <c r="F4" s="425"/>
      <c r="G4" s="425"/>
    </row>
    <row r="5" spans="3:7" ht="18.75">
      <c r="C5" s="9"/>
      <c r="D5" s="23"/>
      <c r="E5" s="45"/>
      <c r="F5" s="24"/>
      <c r="G5" s="45" t="s">
        <v>10</v>
      </c>
    </row>
    <row r="6" spans="1:7" s="41" customFormat="1" ht="15.75">
      <c r="A6" s="426" t="s">
        <v>0</v>
      </c>
      <c r="B6" s="429" t="s">
        <v>9</v>
      </c>
      <c r="C6" s="429" t="s">
        <v>434</v>
      </c>
      <c r="D6" s="429" t="s">
        <v>449</v>
      </c>
      <c r="E6" s="429" t="s">
        <v>453</v>
      </c>
      <c r="F6" s="416" t="s">
        <v>12</v>
      </c>
      <c r="G6" s="424" t="s">
        <v>50</v>
      </c>
    </row>
    <row r="7" spans="1:7" s="41" customFormat="1" ht="15.75" customHeight="1">
      <c r="A7" s="427"/>
      <c r="B7" s="430"/>
      <c r="C7" s="430"/>
      <c r="D7" s="430"/>
      <c r="E7" s="430"/>
      <c r="F7" s="413"/>
      <c r="G7" s="424"/>
    </row>
    <row r="8" spans="1:7" s="41" customFormat="1" ht="15.75">
      <c r="A8" s="427"/>
      <c r="B8" s="430"/>
      <c r="C8" s="430"/>
      <c r="D8" s="430"/>
      <c r="E8" s="430"/>
      <c r="F8" s="414"/>
      <c r="G8" s="424"/>
    </row>
    <row r="9" spans="1:7" s="13" customFormat="1" ht="15.75">
      <c r="A9" s="428"/>
      <c r="B9" s="431"/>
      <c r="C9" s="431"/>
      <c r="D9" s="431"/>
      <c r="E9" s="431"/>
      <c r="F9" s="415"/>
      <c r="G9" s="424"/>
    </row>
    <row r="10" spans="1:7" s="234" customFormat="1" ht="15.75">
      <c r="A10" s="232" t="s">
        <v>1</v>
      </c>
      <c r="B10" s="232" t="s">
        <v>6</v>
      </c>
      <c r="C10" s="233">
        <v>1</v>
      </c>
      <c r="D10" s="233">
        <v>2</v>
      </c>
      <c r="E10" s="233">
        <v>3</v>
      </c>
      <c r="F10" s="321">
        <v>4</v>
      </c>
      <c r="G10" s="321">
        <v>4</v>
      </c>
    </row>
    <row r="11" spans="1:7" s="2" customFormat="1" ht="15.75">
      <c r="A11" s="17" t="s">
        <v>1</v>
      </c>
      <c r="B11" s="18" t="s">
        <v>15</v>
      </c>
      <c r="C11" s="27">
        <f>C12+C15+C18+C19+C20</f>
        <v>1302971</v>
      </c>
      <c r="D11" s="27">
        <f>D12+D15+D18+D19+D20</f>
        <v>1633619</v>
      </c>
      <c r="E11" s="27">
        <f>E12+E15+E18+E19+E20</f>
        <v>1213887</v>
      </c>
      <c r="F11" s="27">
        <f>F12+F15+F18+F19+F20</f>
        <v>-419732</v>
      </c>
      <c r="G11" s="29">
        <f aca="true" t="shared" si="0" ref="G11:G17">E11/D11*100</f>
        <v>74.3066161693761</v>
      </c>
    </row>
    <row r="12" spans="1:7" s="2" customFormat="1" ht="15.75">
      <c r="A12" s="19" t="s">
        <v>2</v>
      </c>
      <c r="B12" s="36" t="s">
        <v>16</v>
      </c>
      <c r="C12" s="25">
        <f>SUM(C13:C14)</f>
        <v>203048</v>
      </c>
      <c r="D12" s="25">
        <f>SUM(D13:D14)</f>
        <v>197498</v>
      </c>
      <c r="E12" s="25">
        <f>SUM(E13:E14)</f>
        <v>207450</v>
      </c>
      <c r="F12" s="25">
        <f>E12-D12</f>
        <v>9952</v>
      </c>
      <c r="G12" s="30">
        <f t="shared" si="0"/>
        <v>105.03903837000881</v>
      </c>
    </row>
    <row r="13" spans="1:7" s="1" customFormat="1" ht="15.75">
      <c r="A13" s="37">
        <v>1</v>
      </c>
      <c r="B13" s="38" t="s">
        <v>43</v>
      </c>
      <c r="C13" s="28">
        <f>'[2]sheet1'!C22+'[2]sheet1'!C25+'[2]sheet1'!C30+'[2]sheet1'!C31+'[2]sheet1'!C32</f>
        <v>65224</v>
      </c>
      <c r="D13" s="28">
        <f>'[2]sheet1'!G22+'[2]sheet1'!G25+'[2]sheet1'!G30+'[2]sheet1'!G31+'[2]sheet1'!G32</f>
        <v>78831</v>
      </c>
      <c r="E13" s="28">
        <f>'[2]sheet1'!K22+'[2]sheet1'!K25+'[2]sheet1'!K30+'[2]sheet1'!K31+'[2]sheet1'!K32</f>
        <v>72170</v>
      </c>
      <c r="F13" s="28">
        <f>E13-D13</f>
        <v>-6661</v>
      </c>
      <c r="G13" s="31">
        <f t="shared" si="0"/>
        <v>91.55027844375944</v>
      </c>
    </row>
    <row r="14" spans="1:7" s="1" customFormat="1" ht="15.75">
      <c r="A14" s="37">
        <v>2</v>
      </c>
      <c r="B14" s="38" t="s">
        <v>44</v>
      </c>
      <c r="C14" s="28">
        <f>'[2]sheet1'!C14</f>
        <v>137824</v>
      </c>
      <c r="D14" s="28">
        <f>'[2]sheet1'!G14</f>
        <v>118667</v>
      </c>
      <c r="E14" s="28">
        <f>'[2]sheet1'!K14</f>
        <v>135280</v>
      </c>
      <c r="F14" s="28">
        <f>E14-D14</f>
        <v>16613</v>
      </c>
      <c r="G14" s="31">
        <f t="shared" si="0"/>
        <v>113.9996797761804</v>
      </c>
    </row>
    <row r="15" spans="1:7" s="2" customFormat="1" ht="15.75">
      <c r="A15" s="19" t="s">
        <v>3</v>
      </c>
      <c r="B15" s="36" t="s">
        <v>17</v>
      </c>
      <c r="C15" s="25">
        <f>SUM(C16:C17)</f>
        <v>1096778</v>
      </c>
      <c r="D15" s="25">
        <f>SUM(D16:D17)</f>
        <v>1107224</v>
      </c>
      <c r="E15" s="25">
        <f>SUM(E16:E17)</f>
        <v>984297</v>
      </c>
      <c r="F15" s="25">
        <f>SUM(F16:F17)</f>
        <v>-122927</v>
      </c>
      <c r="G15" s="30">
        <f t="shared" si="0"/>
        <v>88.89772981799527</v>
      </c>
    </row>
    <row r="16" spans="1:7" s="2" customFormat="1" ht="15.75">
      <c r="A16" s="37">
        <v>1</v>
      </c>
      <c r="B16" s="38" t="s">
        <v>18</v>
      </c>
      <c r="C16" s="28">
        <f>'B12'!C15</f>
        <v>972442</v>
      </c>
      <c r="D16" s="28">
        <f>C16</f>
        <v>972442</v>
      </c>
      <c r="E16" s="28">
        <f>'[2]sheet1'!K33</f>
        <v>984297</v>
      </c>
      <c r="F16" s="28">
        <f>E16-D16</f>
        <v>11855</v>
      </c>
      <c r="G16" s="31">
        <f t="shared" si="0"/>
        <v>101.21909584324824</v>
      </c>
    </row>
    <row r="17" spans="1:7" s="2" customFormat="1" ht="15.75">
      <c r="A17" s="37">
        <f>A16+1</f>
        <v>2</v>
      </c>
      <c r="B17" s="38" t="s">
        <v>19</v>
      </c>
      <c r="C17" s="28">
        <f>'[2]sheet1'!C33-C16</f>
        <v>124336</v>
      </c>
      <c r="D17" s="28">
        <f>'[2]sheet1'!G33-D16</f>
        <v>134782</v>
      </c>
      <c r="E17" s="28"/>
      <c r="F17" s="28">
        <f>E17-D17</f>
        <v>-134782</v>
      </c>
      <c r="G17" s="31">
        <f t="shared" si="0"/>
        <v>0</v>
      </c>
    </row>
    <row r="18" spans="1:7" s="11" customFormat="1" ht="15.75">
      <c r="A18" s="19" t="s">
        <v>4</v>
      </c>
      <c r="B18" s="36" t="s">
        <v>45</v>
      </c>
      <c r="C18" s="25"/>
      <c r="D18" s="25"/>
      <c r="E18" s="25"/>
      <c r="F18" s="25">
        <f>D18-C18</f>
        <v>0</v>
      </c>
      <c r="G18" s="31"/>
    </row>
    <row r="19" spans="1:7" s="11" customFormat="1" ht="15.75">
      <c r="A19" s="19" t="s">
        <v>21</v>
      </c>
      <c r="B19" s="36" t="s">
        <v>20</v>
      </c>
      <c r="C19" s="25">
        <f>'[2]sheet1'!C35</f>
        <v>0</v>
      </c>
      <c r="D19" s="25">
        <f>'[2]sheet1'!G35</f>
        <v>278945</v>
      </c>
      <c r="E19" s="25"/>
      <c r="F19" s="25">
        <f>E19-D19</f>
        <v>-278945</v>
      </c>
      <c r="G19" s="30"/>
    </row>
    <row r="20" spans="1:7" s="12" customFormat="1" ht="15.75">
      <c r="A20" s="19" t="s">
        <v>46</v>
      </c>
      <c r="B20" s="36" t="s">
        <v>22</v>
      </c>
      <c r="C20" s="25">
        <f>'[2]sheet1'!C34+'[2]sheet1'!C36</f>
        <v>3145</v>
      </c>
      <c r="D20" s="25">
        <f>'[2]sheet1'!G34</f>
        <v>49952</v>
      </c>
      <c r="E20" s="25">
        <f>'[2]sheet1'!K34+'[2]sheet1'!K36</f>
        <v>22140</v>
      </c>
      <c r="F20" s="25">
        <f>E20-D20</f>
        <v>-27812</v>
      </c>
      <c r="G20" s="30"/>
    </row>
    <row r="21" spans="1:7" s="13" customFormat="1" ht="15.75">
      <c r="A21" s="21" t="s">
        <v>6</v>
      </c>
      <c r="B21" s="22" t="s">
        <v>23</v>
      </c>
      <c r="C21" s="26">
        <f>C22+C29+C32</f>
        <v>1302971</v>
      </c>
      <c r="D21" s="26">
        <f>D22+D29+D32</f>
        <v>1375023</v>
      </c>
      <c r="E21" s="26">
        <f>E22+E29+E32</f>
        <v>1213887</v>
      </c>
      <c r="F21" s="26">
        <f>F22+F29+F32</f>
        <v>-89084</v>
      </c>
      <c r="G21" s="30">
        <f>E21/C21*100</f>
        <v>93.1630097676771</v>
      </c>
    </row>
    <row r="22" spans="1:7" s="12" customFormat="1" ht="15.75">
      <c r="A22" s="19" t="s">
        <v>2</v>
      </c>
      <c r="B22" s="36" t="s">
        <v>24</v>
      </c>
      <c r="C22" s="26">
        <f>SUM(C23:C28)</f>
        <v>1296541</v>
      </c>
      <c r="D22" s="26">
        <f>SUM(D23:D28)</f>
        <v>1368593</v>
      </c>
      <c r="E22" s="26">
        <f>SUM(E23:E28)</f>
        <v>1207699</v>
      </c>
      <c r="F22" s="26">
        <f>SUM(F23:F28)</f>
        <v>-88842</v>
      </c>
      <c r="G22" s="30">
        <f aca="true" t="shared" si="1" ref="G22:G29">E22/C22*100</f>
        <v>93.1477677913772</v>
      </c>
    </row>
    <row r="23" spans="1:7" s="12" customFormat="1" ht="15.75">
      <c r="A23" s="37">
        <v>1</v>
      </c>
      <c r="B23" s="38" t="s">
        <v>25</v>
      </c>
      <c r="C23" s="20">
        <f>'[3]sheet1'!B14</f>
        <v>123293</v>
      </c>
      <c r="D23" s="20">
        <f>'B12'!D22</f>
        <v>129093</v>
      </c>
      <c r="E23" s="20">
        <f>'[3]sheet1'!D14</f>
        <v>0</v>
      </c>
      <c r="F23" s="28">
        <f>E23-C23</f>
        <v>-123293</v>
      </c>
      <c r="G23" s="31">
        <f t="shared" si="1"/>
        <v>0</v>
      </c>
    </row>
    <row r="24" spans="1:7" s="12" customFormat="1" ht="15.75">
      <c r="A24" s="37">
        <f>A23+1</f>
        <v>2</v>
      </c>
      <c r="B24" s="38" t="s">
        <v>7</v>
      </c>
      <c r="C24" s="20">
        <f>'[3]sheet1'!B19-C27-C29</f>
        <v>1146718</v>
      </c>
      <c r="D24" s="20">
        <f>'B12'!D23</f>
        <v>1239500</v>
      </c>
      <c r="E24" s="20">
        <f>'[3]sheet1'!D19-E27-E29</f>
        <v>1181169</v>
      </c>
      <c r="F24" s="28">
        <f>E24-C24</f>
        <v>34451</v>
      </c>
      <c r="G24" s="31">
        <f t="shared" si="1"/>
        <v>103.00431317900302</v>
      </c>
    </row>
    <row r="25" spans="1:7" s="12" customFormat="1" ht="15.75">
      <c r="A25" s="37">
        <f>A24+1</f>
        <v>3</v>
      </c>
      <c r="B25" s="38" t="s">
        <v>47</v>
      </c>
      <c r="C25" s="20"/>
      <c r="D25" s="20"/>
      <c r="E25" s="20"/>
      <c r="F25" s="28">
        <f>D25-C25</f>
        <v>0</v>
      </c>
      <c r="G25" s="31"/>
    </row>
    <row r="26" spans="1:7" s="12" customFormat="1" ht="15.75">
      <c r="A26" s="37">
        <v>4</v>
      </c>
      <c r="B26" s="38" t="s">
        <v>48</v>
      </c>
      <c r="C26" s="20"/>
      <c r="D26" s="20"/>
      <c r="E26" s="20"/>
      <c r="F26" s="28"/>
      <c r="G26" s="31"/>
    </row>
    <row r="27" spans="1:7" s="12" customFormat="1" ht="15.75">
      <c r="A27" s="37">
        <v>5</v>
      </c>
      <c r="B27" s="38" t="s">
        <v>8</v>
      </c>
      <c r="C27" s="20">
        <f>'B12'!C26</f>
        <v>26530</v>
      </c>
      <c r="D27" s="20">
        <f>'B12'!D26</f>
        <v>0</v>
      </c>
      <c r="E27" s="20">
        <f>'[3]sheet1'!D53+'B41'!O9</f>
        <v>26530</v>
      </c>
      <c r="F27" s="28">
        <f>E27-C27</f>
        <v>0</v>
      </c>
      <c r="G27" s="31">
        <f t="shared" si="1"/>
        <v>100</v>
      </c>
    </row>
    <row r="28" spans="1:7" s="12" customFormat="1" ht="15.75">
      <c r="A28" s="37">
        <f>A27+1</f>
        <v>6</v>
      </c>
      <c r="B28" s="38" t="s">
        <v>26</v>
      </c>
      <c r="C28" s="20"/>
      <c r="D28" s="20"/>
      <c r="E28" s="20"/>
      <c r="F28" s="28">
        <f>D28-C28</f>
        <v>0</v>
      </c>
      <c r="G28" s="31"/>
    </row>
    <row r="29" spans="1:7" s="12" customFormat="1" ht="15.75">
      <c r="A29" s="19" t="s">
        <v>3</v>
      </c>
      <c r="B29" s="36" t="s">
        <v>27</v>
      </c>
      <c r="C29" s="26">
        <f>SUM(C30:C31)</f>
        <v>6430</v>
      </c>
      <c r="D29" s="26">
        <f>SUM(D30:D31)</f>
        <v>6430</v>
      </c>
      <c r="E29" s="26">
        <f>SUM(E30:E31)</f>
        <v>6188</v>
      </c>
      <c r="F29" s="25">
        <f>E29-C29</f>
        <v>-242</v>
      </c>
      <c r="G29" s="30">
        <f t="shared" si="1"/>
        <v>96.23639191290825</v>
      </c>
    </row>
    <row r="30" spans="1:7" s="12" customFormat="1" ht="15.75">
      <c r="A30" s="37">
        <v>1</v>
      </c>
      <c r="B30" s="38" t="s">
        <v>28</v>
      </c>
      <c r="C30" s="20"/>
      <c r="D30" s="20"/>
      <c r="E30" s="20"/>
      <c r="F30" s="28">
        <f>D30-C30</f>
        <v>0</v>
      </c>
      <c r="G30" s="31"/>
    </row>
    <row r="31" spans="1:7" s="14" customFormat="1" ht="15.75">
      <c r="A31" s="37">
        <f>A30+1</f>
        <v>2</v>
      </c>
      <c r="B31" s="38" t="s">
        <v>29</v>
      </c>
      <c r="C31" s="20">
        <f>'B12'!C30</f>
        <v>6430</v>
      </c>
      <c r="D31" s="20">
        <f>'B12'!D30</f>
        <v>6430</v>
      </c>
      <c r="E31" s="20">
        <f>'B17'!D30</f>
        <v>6188</v>
      </c>
      <c r="F31" s="28">
        <f>E31-C31</f>
        <v>-242</v>
      </c>
      <c r="G31" s="31">
        <f>E31/C31*100</f>
        <v>96.23639191290825</v>
      </c>
    </row>
    <row r="32" spans="1:7" s="12" customFormat="1" ht="15.75">
      <c r="A32" s="39" t="s">
        <v>4</v>
      </c>
      <c r="B32" s="40" t="s">
        <v>30</v>
      </c>
      <c r="C32" s="42"/>
      <c r="D32" s="42"/>
      <c r="E32" s="42"/>
      <c r="F32" s="44">
        <f>D32-C32</f>
        <v>0</v>
      </c>
      <c r="G32" s="43"/>
    </row>
    <row r="33" spans="1:7" s="4" customFormat="1" ht="15.75">
      <c r="A33" s="124" t="s">
        <v>454</v>
      </c>
      <c r="B33" s="125"/>
      <c r="C33" s="125"/>
      <c r="D33" s="125"/>
      <c r="E33" s="125"/>
      <c r="F33" s="125"/>
      <c r="G33" s="125"/>
    </row>
    <row r="34" spans="1:7" s="124" customFormat="1" ht="15.75">
      <c r="A34" s="127" t="s">
        <v>455</v>
      </c>
      <c r="C34" s="126"/>
      <c r="D34" s="126"/>
      <c r="E34" s="126"/>
      <c r="F34" s="126"/>
      <c r="G34" s="126"/>
    </row>
    <row r="35" spans="1:7" s="1" customFormat="1" ht="15.75">
      <c r="A35" s="2"/>
      <c r="B35" s="8"/>
      <c r="C35" s="8"/>
      <c r="D35" s="8"/>
      <c r="E35" s="8"/>
      <c r="F35" s="8"/>
      <c r="G35" s="8"/>
    </row>
    <row r="36" spans="1:7" s="1" customFormat="1" ht="15.75">
      <c r="A36" s="2"/>
      <c r="B36" s="8"/>
      <c r="C36" s="8"/>
      <c r="D36" s="8"/>
      <c r="E36" s="8"/>
      <c r="F36" s="8"/>
      <c r="G36" s="8"/>
    </row>
    <row r="37" spans="1:7" s="1" customFormat="1" ht="15.75">
      <c r="A37" s="2"/>
      <c r="B37" s="8"/>
      <c r="C37" s="8"/>
      <c r="D37" s="8"/>
      <c r="E37" s="8"/>
      <c r="F37" s="8"/>
      <c r="G37" s="8"/>
    </row>
    <row r="38" spans="1:7" s="1" customFormat="1" ht="15.75">
      <c r="A38" s="2"/>
      <c r="B38" s="8"/>
      <c r="C38" s="8"/>
      <c r="D38" s="8"/>
      <c r="E38" s="8"/>
      <c r="F38" s="8"/>
      <c r="G38" s="8"/>
    </row>
    <row r="39" spans="1:7" s="1" customFormat="1" ht="15.75">
      <c r="A39" s="2"/>
      <c r="B39" s="8"/>
      <c r="C39" s="8"/>
      <c r="D39" s="8"/>
      <c r="E39" s="8"/>
      <c r="F39" s="8"/>
      <c r="G39" s="8"/>
    </row>
    <row r="40" spans="1:7" s="1" customFormat="1" ht="15.75">
      <c r="A40" s="2"/>
      <c r="B40" s="8"/>
      <c r="C40" s="8"/>
      <c r="D40" s="8"/>
      <c r="E40" s="8"/>
      <c r="F40" s="8"/>
      <c r="G40" s="8"/>
    </row>
    <row r="41" spans="1:7" s="1" customFormat="1" ht="15.75">
      <c r="A41" s="2"/>
      <c r="B41" s="8"/>
      <c r="C41" s="8"/>
      <c r="D41" s="8"/>
      <c r="E41" s="8"/>
      <c r="F41" s="8"/>
      <c r="G41" s="8"/>
    </row>
    <row r="42" spans="1:7" s="1" customFormat="1" ht="15.75">
      <c r="A42" s="2"/>
      <c r="B42" s="8"/>
      <c r="C42" s="8"/>
      <c r="D42" s="8"/>
      <c r="E42" s="8"/>
      <c r="F42" s="8"/>
      <c r="G42" s="8"/>
    </row>
  </sheetData>
  <sheetProtection/>
  <mergeCells count="7">
    <mergeCell ref="G6:G9"/>
    <mergeCell ref="A4:G4"/>
    <mergeCell ref="A6:A9"/>
    <mergeCell ref="B6:B9"/>
    <mergeCell ref="C6:C9"/>
    <mergeCell ref="D6:D9"/>
    <mergeCell ref="E6:E9"/>
  </mergeCells>
  <printOptions/>
  <pageMargins left="0.5" right="0.5" top="0.5" bottom="0.5"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I64"/>
  <sheetViews>
    <sheetView showGridLines="0" showZeros="0" zoomScale="120" zoomScaleNormal="120" zoomScalePageLayoutView="0" workbookViewId="0" topLeftCell="A1">
      <pane xSplit="2" ySplit="8" topLeftCell="C9" activePane="bottomRight" state="frozen"/>
      <selection pane="topLeft" activeCell="A1" sqref="A1"/>
      <selection pane="topRight" activeCell="A1" sqref="A1"/>
      <selection pane="bottomLeft" activeCell="A1" sqref="A1"/>
      <selection pane="bottomRight" activeCell="E39" sqref="E39"/>
    </sheetView>
  </sheetViews>
  <sheetFormatPr defaultColWidth="9.140625" defaultRowHeight="15"/>
  <cols>
    <col min="1" max="1" width="4.421875" style="48" customWidth="1"/>
    <col min="2" max="2" width="47.8515625" style="48" bestFit="1" customWidth="1"/>
    <col min="3" max="4" width="12.8515625" style="48" customWidth="1"/>
    <col min="5" max="6" width="12.8515625" style="49" customWidth="1"/>
    <col min="7" max="8" width="12.8515625" style="48" customWidth="1"/>
    <col min="9" max="9" width="10.8515625" style="48" bestFit="1" customWidth="1"/>
    <col min="10" max="16384" width="9.140625" style="48" customWidth="1"/>
  </cols>
  <sheetData>
    <row r="1" spans="1:8" ht="14.25">
      <c r="A1" s="418" t="s">
        <v>500</v>
      </c>
      <c r="H1" s="152" t="s">
        <v>513</v>
      </c>
    </row>
    <row r="2" ht="12.75">
      <c r="H2" s="50"/>
    </row>
    <row r="3" spans="1:8" s="51" customFormat="1" ht="16.5">
      <c r="A3" s="449" t="s">
        <v>450</v>
      </c>
      <c r="B3" s="449"/>
      <c r="C3" s="449"/>
      <c r="D3" s="449"/>
      <c r="E3" s="449"/>
      <c r="F3" s="449"/>
      <c r="G3" s="449"/>
      <c r="H3" s="449"/>
    </row>
    <row r="4" spans="1:8" s="53" customFormat="1" ht="15">
      <c r="A4" s="450" t="s">
        <v>501</v>
      </c>
      <c r="B4" s="450"/>
      <c r="C4" s="450"/>
      <c r="D4" s="450"/>
      <c r="E4" s="450"/>
      <c r="F4" s="450"/>
      <c r="G4" s="450"/>
      <c r="H4" s="450"/>
    </row>
    <row r="5" spans="3:8" ht="12.75">
      <c r="C5" s="54"/>
      <c r="D5" s="54"/>
      <c r="H5" s="50" t="str">
        <f>'[1]BS96'!F5</f>
        <v>ĐV: Triệu đồng</v>
      </c>
    </row>
    <row r="6" spans="1:8" ht="12.75">
      <c r="A6" s="451" t="s">
        <v>0</v>
      </c>
      <c r="B6" s="453" t="s">
        <v>9</v>
      </c>
      <c r="C6" s="454" t="s">
        <v>434</v>
      </c>
      <c r="D6" s="454"/>
      <c r="E6" s="454" t="s">
        <v>449</v>
      </c>
      <c r="F6" s="454"/>
      <c r="G6" s="454" t="s">
        <v>50</v>
      </c>
      <c r="H6" s="454"/>
    </row>
    <row r="7" spans="1:8" ht="25.5">
      <c r="A7" s="452"/>
      <c r="B7" s="453"/>
      <c r="C7" s="236" t="s">
        <v>431</v>
      </c>
      <c r="D7" s="236" t="s">
        <v>83</v>
      </c>
      <c r="E7" s="236" t="s">
        <v>431</v>
      </c>
      <c r="F7" s="236" t="s">
        <v>83</v>
      </c>
      <c r="G7" s="236" t="s">
        <v>431</v>
      </c>
      <c r="H7" s="236" t="s">
        <v>83</v>
      </c>
    </row>
    <row r="8" spans="1:8" ht="12.75">
      <c r="A8" s="55" t="s">
        <v>1</v>
      </c>
      <c r="B8" s="55" t="s">
        <v>6</v>
      </c>
      <c r="C8" s="55" t="s">
        <v>51</v>
      </c>
      <c r="D8" s="55" t="s">
        <v>52</v>
      </c>
      <c r="E8" s="56" t="s">
        <v>53</v>
      </c>
      <c r="F8" s="56" t="s">
        <v>54</v>
      </c>
      <c r="G8" s="55" t="s">
        <v>55</v>
      </c>
      <c r="H8" s="57" t="s">
        <v>56</v>
      </c>
    </row>
    <row r="9" spans="1:9" ht="12.75">
      <c r="A9" s="58"/>
      <c r="B9" s="59" t="s">
        <v>79</v>
      </c>
      <c r="C9" s="87">
        <f>C10+C61+C62</f>
        <v>1511000</v>
      </c>
      <c r="D9" s="87">
        <f>D10+D61+D62</f>
        <v>203048</v>
      </c>
      <c r="E9" s="87">
        <f>E10+E61+E62</f>
        <v>1527000</v>
      </c>
      <c r="F9" s="87">
        <f>F10+F61+F62</f>
        <v>197498</v>
      </c>
      <c r="G9" s="60">
        <f aca="true" t="shared" si="0" ref="G9:H11">E9/C9*100</f>
        <v>101.05890138980807</v>
      </c>
      <c r="H9" s="61">
        <f>F9/D9*100</f>
        <v>97.26665616011978</v>
      </c>
      <c r="I9" s="54"/>
    </row>
    <row r="10" spans="1:9" ht="12.75" hidden="1">
      <c r="A10" s="62" t="s">
        <v>1</v>
      </c>
      <c r="B10" s="63" t="s">
        <v>57</v>
      </c>
      <c r="C10" s="88">
        <f>C11+C58+C59+C60</f>
        <v>1511000</v>
      </c>
      <c r="D10" s="88">
        <f>D11+D58+D59+D60</f>
        <v>203048</v>
      </c>
      <c r="E10" s="88">
        <f>E11+E58+E59+E60</f>
        <v>1527000</v>
      </c>
      <c r="F10" s="88">
        <f>F11+F58+F59+F60</f>
        <v>197498</v>
      </c>
      <c r="G10" s="60">
        <f t="shared" si="0"/>
        <v>101.05890138980807</v>
      </c>
      <c r="H10" s="61">
        <f t="shared" si="0"/>
        <v>97.26665616011978</v>
      </c>
      <c r="I10" s="49"/>
    </row>
    <row r="11" spans="1:9" ht="12.75">
      <c r="A11" s="62" t="s">
        <v>2</v>
      </c>
      <c r="B11" s="63" t="s">
        <v>31</v>
      </c>
      <c r="C11" s="89">
        <f>C12+C18+C24+C30+SUM(C37:C40)+SUM(C45:C57)</f>
        <v>1511000</v>
      </c>
      <c r="D11" s="89">
        <f>D12+D18+D24+D30+SUM(D37:D40)+SUM(D45:D57)</f>
        <v>203048</v>
      </c>
      <c r="E11" s="89">
        <f>E12+E18+E24+E30+SUM(E37:E40)+SUM(E45:E57)</f>
        <v>1527000</v>
      </c>
      <c r="F11" s="89">
        <f>F12+F18+F24+F30+SUM(F37:F40)+SUM(F45:F57)</f>
        <v>197498</v>
      </c>
      <c r="G11" s="60">
        <f t="shared" si="0"/>
        <v>101.05890138980807</v>
      </c>
      <c r="H11" s="61">
        <f t="shared" si="0"/>
        <v>97.26665616011978</v>
      </c>
      <c r="I11" s="64"/>
    </row>
    <row r="12" spans="1:9" ht="12.75">
      <c r="A12" s="65">
        <v>1</v>
      </c>
      <c r="B12" s="66" t="s">
        <v>80</v>
      </c>
      <c r="C12" s="95"/>
      <c r="D12" s="92">
        <f>SUM(D13:D17)</f>
        <v>0</v>
      </c>
      <c r="E12" s="95">
        <v>1200</v>
      </c>
      <c r="F12" s="92">
        <f>SUM(F13:F17)</f>
        <v>0</v>
      </c>
      <c r="G12" s="237">
        <f>SUM(G13:G17)</f>
        <v>0</v>
      </c>
      <c r="H12" s="238">
        <f>SUM(H13:H17)</f>
        <v>0</v>
      </c>
      <c r="I12" s="64"/>
    </row>
    <row r="13" spans="1:9" ht="12.75" hidden="1">
      <c r="A13" s="65"/>
      <c r="B13" s="66" t="s">
        <v>58</v>
      </c>
      <c r="C13" s="95" t="e">
        <f>'[2]sheet1'!#REF!</f>
        <v>#REF!</v>
      </c>
      <c r="D13" s="90"/>
      <c r="E13" s="95" t="e">
        <f>'[2]sheet1'!#REF!</f>
        <v>#REF!</v>
      </c>
      <c r="F13" s="90"/>
      <c r="G13" s="67"/>
      <c r="H13" s="68"/>
      <c r="I13" s="69"/>
    </row>
    <row r="14" spans="1:9" ht="12.75" hidden="1">
      <c r="A14" s="65"/>
      <c r="B14" s="66" t="s">
        <v>59</v>
      </c>
      <c r="C14" s="95" t="e">
        <f>'[2]sheet1'!#REF!</f>
        <v>#REF!</v>
      </c>
      <c r="D14" s="90"/>
      <c r="E14" s="95" t="e">
        <f>'[2]sheet1'!#REF!</f>
        <v>#REF!</v>
      </c>
      <c r="F14" s="90"/>
      <c r="G14" s="67"/>
      <c r="H14" s="68"/>
      <c r="I14" s="64"/>
    </row>
    <row r="15" spans="1:8" ht="12.75" hidden="1">
      <c r="A15" s="65"/>
      <c r="B15" s="66" t="s">
        <v>60</v>
      </c>
      <c r="C15" s="95" t="e">
        <f>'[2]sheet1'!#REF!</f>
        <v>#REF!</v>
      </c>
      <c r="D15" s="90"/>
      <c r="E15" s="95" t="e">
        <f>'[2]sheet1'!#REF!</f>
        <v>#REF!</v>
      </c>
      <c r="F15" s="90"/>
      <c r="G15" s="67"/>
      <c r="H15" s="68"/>
    </row>
    <row r="16" spans="1:8" ht="12.75" hidden="1">
      <c r="A16" s="65"/>
      <c r="B16" s="66" t="s">
        <v>61</v>
      </c>
      <c r="C16" s="95" t="e">
        <f>'[2]sheet1'!#REF!</f>
        <v>#REF!</v>
      </c>
      <c r="D16" s="90"/>
      <c r="E16" s="95" t="e">
        <f>'[2]sheet1'!#REF!</f>
        <v>#REF!</v>
      </c>
      <c r="F16" s="90"/>
      <c r="G16" s="67"/>
      <c r="H16" s="68"/>
    </row>
    <row r="17" spans="1:8" ht="12.75" hidden="1">
      <c r="A17" s="65"/>
      <c r="B17" s="66" t="s">
        <v>62</v>
      </c>
      <c r="C17" s="95">
        <f>'[2]sheet1'!B1</f>
        <v>0</v>
      </c>
      <c r="D17" s="90"/>
      <c r="E17" s="95">
        <f>'[2]sheet1'!D1</f>
        <v>0</v>
      </c>
      <c r="F17" s="90"/>
      <c r="G17" s="67"/>
      <c r="H17" s="68"/>
    </row>
    <row r="18" spans="1:8" ht="12.75">
      <c r="A18" s="65">
        <v>2</v>
      </c>
      <c r="B18" s="66" t="s">
        <v>63</v>
      </c>
      <c r="C18" s="95">
        <f>'[2]sheet1'!B12-C12</f>
        <v>2600</v>
      </c>
      <c r="D18" s="92">
        <f>SUM(D19:D23)</f>
        <v>0</v>
      </c>
      <c r="E18" s="95">
        <f>'[2]sheet1'!F12-E12</f>
        <v>9800</v>
      </c>
      <c r="F18" s="92">
        <f>SUM(F19:F23)</f>
        <v>0</v>
      </c>
      <c r="G18" s="72">
        <f>E18/C18*100</f>
        <v>376.9230769230769</v>
      </c>
      <c r="H18" s="73"/>
    </row>
    <row r="19" spans="1:8" ht="12.75" hidden="1">
      <c r="A19" s="65"/>
      <c r="B19" s="66" t="s">
        <v>58</v>
      </c>
      <c r="C19" s="91"/>
      <c r="D19" s="91"/>
      <c r="E19" s="91"/>
      <c r="F19" s="91"/>
      <c r="G19" s="70"/>
      <c r="H19" s="71"/>
    </row>
    <row r="20" spans="1:8" ht="12.75" hidden="1">
      <c r="A20" s="65"/>
      <c r="B20" s="66" t="s">
        <v>59</v>
      </c>
      <c r="C20" s="91"/>
      <c r="D20" s="91"/>
      <c r="E20" s="91"/>
      <c r="F20" s="91"/>
      <c r="G20" s="70"/>
      <c r="H20" s="71"/>
    </row>
    <row r="21" spans="1:8" ht="12.75" hidden="1">
      <c r="A21" s="65"/>
      <c r="B21" s="66" t="s">
        <v>60</v>
      </c>
      <c r="C21" s="91"/>
      <c r="D21" s="91"/>
      <c r="E21" s="91"/>
      <c r="F21" s="91"/>
      <c r="G21" s="70"/>
      <c r="H21" s="71"/>
    </row>
    <row r="22" spans="1:8" ht="12.75" hidden="1">
      <c r="A22" s="65"/>
      <c r="B22" s="66" t="s">
        <v>61</v>
      </c>
      <c r="C22" s="91"/>
      <c r="D22" s="91"/>
      <c r="E22" s="91"/>
      <c r="F22" s="91"/>
      <c r="G22" s="70"/>
      <c r="H22" s="71"/>
    </row>
    <row r="23" spans="1:8" ht="12.75" hidden="1">
      <c r="A23" s="65"/>
      <c r="B23" s="66" t="s">
        <v>62</v>
      </c>
      <c r="C23" s="91"/>
      <c r="D23" s="91"/>
      <c r="E23" s="91"/>
      <c r="F23" s="91"/>
      <c r="G23" s="70"/>
      <c r="H23" s="71"/>
    </row>
    <row r="24" spans="1:8" ht="12.75">
      <c r="A24" s="65">
        <v>3</v>
      </c>
      <c r="B24" s="66" t="s">
        <v>64</v>
      </c>
      <c r="C24" s="92">
        <f>'[2]sheet1'!B13</f>
        <v>2600</v>
      </c>
      <c r="D24" s="92"/>
      <c r="E24" s="92">
        <f>'[2]sheet1'!F13</f>
        <v>2600</v>
      </c>
      <c r="F24" s="92">
        <f>SUM(F25:F29)</f>
        <v>0</v>
      </c>
      <c r="G24" s="72">
        <f>E24/C24*100</f>
        <v>100</v>
      </c>
      <c r="H24" s="73"/>
    </row>
    <row r="25" spans="1:8" ht="12.75" hidden="1">
      <c r="A25" s="65"/>
      <c r="B25" s="66" t="s">
        <v>58</v>
      </c>
      <c r="C25" s="91"/>
      <c r="D25" s="91"/>
      <c r="E25" s="91"/>
      <c r="F25" s="91"/>
      <c r="G25" s="70"/>
      <c r="H25" s="71"/>
    </row>
    <row r="26" spans="1:8" ht="12.75" hidden="1">
      <c r="A26" s="65"/>
      <c r="B26" s="66" t="s">
        <v>59</v>
      </c>
      <c r="C26" s="91"/>
      <c r="D26" s="91"/>
      <c r="E26" s="91"/>
      <c r="F26" s="91"/>
      <c r="G26" s="70"/>
      <c r="H26" s="71"/>
    </row>
    <row r="27" spans="1:8" ht="12.75" hidden="1">
      <c r="A27" s="65"/>
      <c r="B27" s="66" t="s">
        <v>60</v>
      </c>
      <c r="C27" s="91"/>
      <c r="D27" s="91"/>
      <c r="E27" s="91"/>
      <c r="F27" s="91"/>
      <c r="G27" s="70"/>
      <c r="H27" s="71"/>
    </row>
    <row r="28" spans="1:8" ht="12.75" hidden="1">
      <c r="A28" s="65"/>
      <c r="B28" s="66" t="s">
        <v>61</v>
      </c>
      <c r="C28" s="91"/>
      <c r="D28" s="91"/>
      <c r="E28" s="91"/>
      <c r="F28" s="91"/>
      <c r="G28" s="70"/>
      <c r="H28" s="71"/>
    </row>
    <row r="29" spans="1:8" ht="12.75" hidden="1">
      <c r="A29" s="65"/>
      <c r="B29" s="66" t="s">
        <v>65</v>
      </c>
      <c r="C29" s="91"/>
      <c r="D29" s="91"/>
      <c r="E29" s="91"/>
      <c r="F29" s="91"/>
      <c r="G29" s="70"/>
      <c r="H29" s="71"/>
    </row>
    <row r="30" spans="1:9" ht="12.75">
      <c r="A30" s="65">
        <v>4</v>
      </c>
      <c r="B30" s="66" t="s">
        <v>41</v>
      </c>
      <c r="C30" s="92">
        <f>SUM(C31:C36)</f>
        <v>764800</v>
      </c>
      <c r="D30" s="92">
        <f>SUM(D31:D36)</f>
        <v>137824</v>
      </c>
      <c r="E30" s="92">
        <f>SUM(E31:E36)</f>
        <v>657400</v>
      </c>
      <c r="F30" s="92">
        <f>SUM(F31:F36)</f>
        <v>118667</v>
      </c>
      <c r="G30" s="72">
        <f aca="true" t="shared" si="1" ref="G30:H32">E30/C30*100</f>
        <v>85.95711297071131</v>
      </c>
      <c r="H30" s="73">
        <f t="shared" si="1"/>
        <v>86.10038890178778</v>
      </c>
      <c r="I30" s="49"/>
    </row>
    <row r="31" spans="1:9" ht="12.75">
      <c r="A31" s="65"/>
      <c r="B31" s="66" t="s">
        <v>58</v>
      </c>
      <c r="C31" s="90">
        <f>'[2]sheet1'!B15</f>
        <v>539500</v>
      </c>
      <c r="D31" s="90">
        <f>ROUND(C31*0.18,0)</f>
        <v>97110</v>
      </c>
      <c r="E31" s="90">
        <f>'[2]sheet1'!F15</f>
        <v>475650</v>
      </c>
      <c r="F31" s="90">
        <f>ROUND(E31*0.18,0)</f>
        <v>85617</v>
      </c>
      <c r="G31" s="74">
        <f t="shared" si="1"/>
        <v>88.16496756255793</v>
      </c>
      <c r="H31" s="75">
        <f t="shared" si="1"/>
        <v>88.16496756255793</v>
      </c>
      <c r="I31" s="64"/>
    </row>
    <row r="32" spans="1:8" ht="12.75">
      <c r="A32" s="65"/>
      <c r="B32" s="66" t="s">
        <v>59</v>
      </c>
      <c r="C32" s="90">
        <f>'[2]sheet1'!B16</f>
        <v>222300</v>
      </c>
      <c r="D32" s="90">
        <f>ROUND(C32*0.18,0)</f>
        <v>40014</v>
      </c>
      <c r="E32" s="90">
        <f>'[2]sheet1'!F16</f>
        <v>180000</v>
      </c>
      <c r="F32" s="90">
        <f>ROUND(E32*0.18,0)</f>
        <v>32400</v>
      </c>
      <c r="G32" s="74">
        <f t="shared" si="1"/>
        <v>80.97165991902834</v>
      </c>
      <c r="H32" s="75">
        <f t="shared" si="1"/>
        <v>80.97165991902834</v>
      </c>
    </row>
    <row r="33" spans="1:8" ht="12.75">
      <c r="A33" s="65"/>
      <c r="B33" s="66" t="s">
        <v>60</v>
      </c>
      <c r="C33" s="90">
        <f>'[2]sheet1'!B17</f>
        <v>2300</v>
      </c>
      <c r="D33" s="91"/>
      <c r="E33" s="90">
        <f>'[2]sheet1'!F17</f>
        <v>1100</v>
      </c>
      <c r="F33" s="91"/>
      <c r="G33" s="74">
        <f>E33/C33*100</f>
        <v>47.82608695652174</v>
      </c>
      <c r="H33" s="75"/>
    </row>
    <row r="34" spans="1:8" ht="12.75" hidden="1">
      <c r="A34" s="65"/>
      <c r="B34" s="66" t="s">
        <v>61</v>
      </c>
      <c r="C34" s="91"/>
      <c r="D34" s="91">
        <f>C34</f>
        <v>0</v>
      </c>
      <c r="E34" s="90"/>
      <c r="F34" s="91"/>
      <c r="G34" s="74"/>
      <c r="H34" s="75"/>
    </row>
    <row r="35" spans="1:8" ht="12.75">
      <c r="A35" s="65"/>
      <c r="B35" s="66" t="s">
        <v>66</v>
      </c>
      <c r="C35" s="90">
        <f>'[2]sheet1'!B20</f>
        <v>700</v>
      </c>
      <c r="D35" s="90">
        <f>ROUND(C35*1,0)</f>
        <v>700</v>
      </c>
      <c r="E35" s="90">
        <f>'[2]sheet1'!F20</f>
        <v>650</v>
      </c>
      <c r="F35" s="90">
        <f>E35</f>
        <v>650</v>
      </c>
      <c r="G35" s="74">
        <f>E35/C35*100</f>
        <v>92.85714285714286</v>
      </c>
      <c r="H35" s="75">
        <f>F35/D35*100</f>
        <v>92.85714285714286</v>
      </c>
    </row>
    <row r="36" spans="1:8" ht="12.75" hidden="1">
      <c r="A36" s="65"/>
      <c r="B36" s="66" t="s">
        <v>62</v>
      </c>
      <c r="C36" s="91"/>
      <c r="D36" s="91">
        <f>C36</f>
        <v>0</v>
      </c>
      <c r="E36" s="91"/>
      <c r="F36" s="91"/>
      <c r="G36" s="74"/>
      <c r="H36" s="75"/>
    </row>
    <row r="37" spans="1:8" ht="12.75">
      <c r="A37" s="65">
        <v>5</v>
      </c>
      <c r="B37" s="66" t="s">
        <v>32</v>
      </c>
      <c r="C37" s="95">
        <f>'[2]sheet1'!B24</f>
        <v>245000</v>
      </c>
      <c r="D37" s="92"/>
      <c r="E37" s="95">
        <f>'[2]sheet1'!F24</f>
        <v>215300</v>
      </c>
      <c r="F37" s="92"/>
      <c r="G37" s="72">
        <f>E37/C37*100</f>
        <v>87.87755102040816</v>
      </c>
      <c r="H37" s="71"/>
    </row>
    <row r="38" spans="1:8" ht="12.75">
      <c r="A38" s="65">
        <v>6</v>
      </c>
      <c r="B38" s="66" t="s">
        <v>33</v>
      </c>
      <c r="C38" s="95">
        <f>'[2]sheet1'!B28</f>
        <v>2000</v>
      </c>
      <c r="D38" s="92"/>
      <c r="E38" s="95">
        <f>'[2]sheet1'!F28</f>
        <v>700</v>
      </c>
      <c r="F38" s="92"/>
      <c r="G38" s="72">
        <f>E38/C38*100</f>
        <v>35</v>
      </c>
      <c r="H38" s="73"/>
    </row>
    <row r="39" spans="1:8" ht="12.75">
      <c r="A39" s="65">
        <v>7</v>
      </c>
      <c r="B39" s="66" t="s">
        <v>34</v>
      </c>
      <c r="C39" s="95">
        <f>'[2]sheet1'!B22</f>
        <v>210000</v>
      </c>
      <c r="D39" s="95">
        <f>'[2]sheet1'!C22</f>
        <v>25200</v>
      </c>
      <c r="E39" s="95">
        <f>'[2]sheet1'!F22</f>
        <v>228000</v>
      </c>
      <c r="F39" s="92">
        <f>'[2]sheet1'!G22</f>
        <v>26940</v>
      </c>
      <c r="G39" s="72">
        <f>E39/C39*100</f>
        <v>108.57142857142857</v>
      </c>
      <c r="H39" s="73">
        <f>F39/D39*100</f>
        <v>106.9047619047619</v>
      </c>
    </row>
    <row r="40" spans="1:8" ht="12.75">
      <c r="A40" s="65">
        <v>8</v>
      </c>
      <c r="B40" s="66" t="s">
        <v>88</v>
      </c>
      <c r="C40" s="95">
        <f>'[2]sheet1'!B30+'[2]sheet1'!B31</f>
        <v>65000</v>
      </c>
      <c r="D40" s="95">
        <f>SUM(D41:D44)</f>
        <v>23003</v>
      </c>
      <c r="E40" s="95">
        <f>'[2]sheet1'!F30+'[2]sheet1'!F31</f>
        <v>69000</v>
      </c>
      <c r="F40" s="95">
        <f>SUM(F41:F44)</f>
        <v>23597</v>
      </c>
      <c r="G40" s="72">
        <f>E40/C40*100</f>
        <v>106.15384615384616</v>
      </c>
      <c r="H40" s="73">
        <f>F40/D40*100</f>
        <v>102.58227187758118</v>
      </c>
    </row>
    <row r="41" spans="1:8" ht="12.75">
      <c r="A41" s="65"/>
      <c r="B41" s="66" t="s">
        <v>84</v>
      </c>
      <c r="C41" s="90">
        <f>C40-C42-C43-C44</f>
        <v>41997</v>
      </c>
      <c r="D41" s="90"/>
      <c r="E41" s="90">
        <f>E40-E42-E43-E44</f>
        <v>45403</v>
      </c>
      <c r="F41" s="90"/>
      <c r="G41" s="74">
        <f>E41/C41*100</f>
        <v>108.11010310260257</v>
      </c>
      <c r="H41" s="75"/>
    </row>
    <row r="42" spans="1:8" ht="12.75">
      <c r="A42" s="65"/>
      <c r="B42" s="66" t="s">
        <v>85</v>
      </c>
      <c r="C42" s="90"/>
      <c r="D42" s="90"/>
      <c r="E42" s="90"/>
      <c r="F42" s="90"/>
      <c r="G42" s="74"/>
      <c r="H42" s="75"/>
    </row>
    <row r="43" spans="1:8" ht="12.75">
      <c r="A43" s="65"/>
      <c r="B43" s="66" t="s">
        <v>86</v>
      </c>
      <c r="C43" s="90">
        <f>'[2]sheet1'!D30+'[2]sheet1'!D31</f>
        <v>15456</v>
      </c>
      <c r="D43" s="90">
        <f>C43</f>
        <v>15456</v>
      </c>
      <c r="E43" s="90">
        <f>'[2]sheet1'!H30+'[2]sheet1'!H31</f>
        <v>15070</v>
      </c>
      <c r="F43" s="90">
        <f>E43</f>
        <v>15070</v>
      </c>
      <c r="G43" s="74">
        <f>E43/C43*100</f>
        <v>97.50258799171843</v>
      </c>
      <c r="H43" s="75">
        <f>F43/D43*100</f>
        <v>97.50258799171843</v>
      </c>
    </row>
    <row r="44" spans="1:8" ht="12.75">
      <c r="A44" s="65"/>
      <c r="B44" s="66" t="s">
        <v>87</v>
      </c>
      <c r="C44" s="90">
        <f>'[2]sheet1'!E30+'[2]sheet1'!E31</f>
        <v>7547</v>
      </c>
      <c r="D44" s="90">
        <f>C44</f>
        <v>7547</v>
      </c>
      <c r="E44" s="98">
        <f>'[2]sheet1'!I30+'[2]sheet1'!I31</f>
        <v>8527</v>
      </c>
      <c r="F44" s="90">
        <f>E44</f>
        <v>8527</v>
      </c>
      <c r="G44" s="74">
        <f>E44/C44*100</f>
        <v>112.9852921690738</v>
      </c>
      <c r="H44" s="75">
        <f>F44/D44*100</f>
        <v>112.9852921690738</v>
      </c>
    </row>
    <row r="45" spans="1:8" ht="12.75">
      <c r="A45" s="65">
        <v>9</v>
      </c>
      <c r="B45" s="66" t="s">
        <v>67</v>
      </c>
      <c r="C45" s="95"/>
      <c r="D45" s="95"/>
      <c r="E45" s="95"/>
      <c r="F45" s="95"/>
      <c r="G45" s="72"/>
      <c r="H45" s="73"/>
    </row>
    <row r="46" spans="1:8" ht="12.75">
      <c r="A46" s="65">
        <v>10</v>
      </c>
      <c r="B46" s="66" t="s">
        <v>68</v>
      </c>
      <c r="C46" s="95">
        <f>'[2]sheet1'!B25</f>
        <v>9000</v>
      </c>
      <c r="D46" s="95">
        <f>C46</f>
        <v>9000</v>
      </c>
      <c r="E46" s="95">
        <f>'[2]sheet1'!F25</f>
        <v>11000</v>
      </c>
      <c r="F46" s="95">
        <f>E46</f>
        <v>11000</v>
      </c>
      <c r="G46" s="72">
        <f>E46/C46*100</f>
        <v>122.22222222222223</v>
      </c>
      <c r="H46" s="73">
        <f>F46/D46*100</f>
        <v>122.22222222222223</v>
      </c>
    </row>
    <row r="47" spans="1:8" ht="12.75">
      <c r="A47" s="65">
        <v>11</v>
      </c>
      <c r="B47" s="66" t="s">
        <v>69</v>
      </c>
      <c r="C47" s="95">
        <f>'[2]sheet1'!B26</f>
        <v>30000</v>
      </c>
      <c r="D47" s="95"/>
      <c r="E47" s="95">
        <f>'[2]sheet1'!F26</f>
        <v>163000</v>
      </c>
      <c r="F47" s="95"/>
      <c r="G47" s="72">
        <f>E47/C47*100</f>
        <v>543.3333333333334</v>
      </c>
      <c r="H47" s="73"/>
    </row>
    <row r="48" spans="1:8" ht="12.75">
      <c r="A48" s="65">
        <v>12</v>
      </c>
      <c r="B48" s="66" t="s">
        <v>70</v>
      </c>
      <c r="C48" s="95">
        <f>'[2]sheet1'!B27</f>
        <v>130000</v>
      </c>
      <c r="D48" s="92"/>
      <c r="E48" s="95">
        <f>'[2]sheet1'!F27</f>
        <v>119000</v>
      </c>
      <c r="F48" s="92"/>
      <c r="G48" s="72">
        <f>E48/C48*100</f>
        <v>91.53846153846153</v>
      </c>
      <c r="H48" s="73"/>
    </row>
    <row r="49" spans="1:8" ht="12.75">
      <c r="A49" s="65">
        <v>13</v>
      </c>
      <c r="B49" s="66" t="s">
        <v>71</v>
      </c>
      <c r="C49" s="95"/>
      <c r="D49" s="95"/>
      <c r="E49" s="95"/>
      <c r="F49" s="95"/>
      <c r="G49" s="72"/>
      <c r="H49" s="73"/>
    </row>
    <row r="50" spans="1:8" ht="12.75">
      <c r="A50" s="65">
        <v>14</v>
      </c>
      <c r="B50" s="66" t="s">
        <v>432</v>
      </c>
      <c r="C50" s="95"/>
      <c r="D50" s="96"/>
      <c r="E50" s="96"/>
      <c r="F50" s="96"/>
      <c r="G50" s="72"/>
      <c r="H50" s="73"/>
    </row>
    <row r="51" spans="1:8" ht="12.75">
      <c r="A51" s="65">
        <v>15</v>
      </c>
      <c r="B51" s="66" t="s">
        <v>73</v>
      </c>
      <c r="C51" s="95"/>
      <c r="D51" s="96"/>
      <c r="E51" s="96"/>
      <c r="F51" s="96"/>
      <c r="G51" s="72"/>
      <c r="H51" s="73"/>
    </row>
    <row r="52" spans="1:8" ht="12.75">
      <c r="A52" s="65">
        <v>16</v>
      </c>
      <c r="B52" s="66" t="s">
        <v>74</v>
      </c>
      <c r="C52" s="95">
        <f>'[2]sheet1'!B32</f>
        <v>50000</v>
      </c>
      <c r="D52" s="95">
        <f>'[2]sheet1'!C32</f>
        <v>8021</v>
      </c>
      <c r="E52" s="95">
        <f>'[2]sheet1'!F32</f>
        <v>50000</v>
      </c>
      <c r="F52" s="92">
        <f>'[2]sheet1'!G32</f>
        <v>17294</v>
      </c>
      <c r="G52" s="72">
        <f>E52/C52*100</f>
        <v>100</v>
      </c>
      <c r="H52" s="73">
        <f>F52/D52*100</f>
        <v>215.60902630594688</v>
      </c>
    </row>
    <row r="53" spans="1:8" ht="12.75">
      <c r="A53" s="65">
        <v>17</v>
      </c>
      <c r="B53" s="66" t="s">
        <v>75</v>
      </c>
      <c r="C53" s="95"/>
      <c r="D53" s="97"/>
      <c r="E53" s="92"/>
      <c r="F53" s="92"/>
      <c r="G53" s="72"/>
      <c r="H53" s="73"/>
    </row>
    <row r="54" spans="1:8" ht="12.75" hidden="1">
      <c r="A54" s="65">
        <v>18</v>
      </c>
      <c r="B54" s="66" t="s">
        <v>89</v>
      </c>
      <c r="C54" s="95"/>
      <c r="D54" s="97"/>
      <c r="E54" s="92"/>
      <c r="F54" s="92"/>
      <c r="G54" s="72"/>
      <c r="H54" s="73"/>
    </row>
    <row r="55" spans="1:8" ht="12.75" hidden="1">
      <c r="A55" s="65">
        <v>19</v>
      </c>
      <c r="B55" s="66" t="s">
        <v>90</v>
      </c>
      <c r="C55" s="95"/>
      <c r="D55" s="97"/>
      <c r="E55" s="92"/>
      <c r="F55" s="92"/>
      <c r="G55" s="72"/>
      <c r="H55" s="73"/>
    </row>
    <row r="56" spans="1:8" ht="12.75" hidden="1">
      <c r="A56" s="65">
        <v>20</v>
      </c>
      <c r="B56" s="66" t="s">
        <v>91</v>
      </c>
      <c r="C56" s="95"/>
      <c r="D56" s="97"/>
      <c r="E56" s="92"/>
      <c r="F56" s="92"/>
      <c r="G56" s="72"/>
      <c r="H56" s="73"/>
    </row>
    <row r="57" spans="1:8" ht="12.75" hidden="1">
      <c r="A57" s="65">
        <v>21</v>
      </c>
      <c r="B57" s="66" t="s">
        <v>92</v>
      </c>
      <c r="C57" s="95"/>
      <c r="D57" s="97"/>
      <c r="E57" s="92"/>
      <c r="F57" s="92"/>
      <c r="G57" s="72"/>
      <c r="H57" s="73"/>
    </row>
    <row r="58" spans="1:8" ht="12.75">
      <c r="A58" s="62" t="s">
        <v>3</v>
      </c>
      <c r="B58" s="63" t="s">
        <v>81</v>
      </c>
      <c r="C58" s="90"/>
      <c r="D58" s="90"/>
      <c r="E58" s="88"/>
      <c r="F58" s="88"/>
      <c r="G58" s="67"/>
      <c r="H58" s="76"/>
    </row>
    <row r="59" spans="1:8" ht="12.75">
      <c r="A59" s="62" t="s">
        <v>4</v>
      </c>
      <c r="B59" s="63" t="s">
        <v>82</v>
      </c>
      <c r="C59" s="90"/>
      <c r="D59" s="90"/>
      <c r="E59" s="90"/>
      <c r="F59" s="88"/>
      <c r="G59" s="67"/>
      <c r="H59" s="76"/>
    </row>
    <row r="60" spans="1:8" ht="12.75">
      <c r="A60" s="62" t="s">
        <v>21</v>
      </c>
      <c r="B60" s="63" t="s">
        <v>35</v>
      </c>
      <c r="C60" s="90"/>
      <c r="D60" s="90"/>
      <c r="E60" s="88">
        <f>'[2]sheet1'!F36</f>
        <v>0</v>
      </c>
      <c r="F60" s="88">
        <f>E60</f>
        <v>0</v>
      </c>
      <c r="G60" s="67"/>
      <c r="H60" s="76"/>
    </row>
    <row r="61" spans="1:8" ht="12.75" hidden="1">
      <c r="A61" s="62" t="s">
        <v>6</v>
      </c>
      <c r="B61" s="63" t="s">
        <v>76</v>
      </c>
      <c r="C61" s="91"/>
      <c r="D61" s="91"/>
      <c r="E61" s="93"/>
      <c r="F61" s="93"/>
      <c r="G61" s="70"/>
      <c r="H61" s="71"/>
    </row>
    <row r="62" spans="1:8" ht="12.75" hidden="1">
      <c r="A62" s="77" t="s">
        <v>77</v>
      </c>
      <c r="B62" s="78" t="s">
        <v>78</v>
      </c>
      <c r="C62" s="94"/>
      <c r="D62" s="79"/>
      <c r="E62" s="94"/>
      <c r="F62" s="94"/>
      <c r="G62" s="80"/>
      <c r="H62" s="81"/>
    </row>
    <row r="63" spans="1:8" ht="12.75">
      <c r="A63" s="82"/>
      <c r="B63" s="83"/>
      <c r="C63" s="84"/>
      <c r="D63" s="84"/>
      <c r="E63" s="84"/>
      <c r="F63" s="84"/>
      <c r="G63" s="85"/>
      <c r="H63" s="239"/>
    </row>
    <row r="64" spans="1:8" ht="12.75">
      <c r="A64" s="448"/>
      <c r="B64" s="448"/>
      <c r="C64" s="448"/>
      <c r="H64" s="52"/>
    </row>
  </sheetData>
  <sheetProtection/>
  <mergeCells count="8">
    <mergeCell ref="A64:C64"/>
    <mergeCell ref="A3:H3"/>
    <mergeCell ref="A4:H4"/>
    <mergeCell ref="A6:A7"/>
    <mergeCell ref="B6:B7"/>
    <mergeCell ref="C6:D6"/>
    <mergeCell ref="E6:F6"/>
    <mergeCell ref="G6:H6"/>
  </mergeCells>
  <printOptions/>
  <pageMargins left="0.92" right="0.31496062992126" top="0.4" bottom="0.3" header="0.31496062992126"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75"/>
  <sheetViews>
    <sheetView showZeros="0" zoomScale="110" zoomScaleNormal="110" zoomScalePageLayoutView="0" workbookViewId="0" topLeftCell="A1">
      <selection activeCell="D15" sqref="D15"/>
    </sheetView>
  </sheetViews>
  <sheetFormatPr defaultColWidth="9.140625" defaultRowHeight="15"/>
  <cols>
    <col min="1" max="1" width="5.8515625" style="2" customWidth="1"/>
    <col min="2" max="2" width="47.140625" style="8" customWidth="1"/>
    <col min="3" max="3" width="10.421875" style="8" customWidth="1"/>
    <col min="4" max="4" width="10.7109375" style="8" customWidth="1"/>
    <col min="5" max="5" width="9.00390625" style="8" customWidth="1"/>
    <col min="6" max="6" width="9.421875" style="8" customWidth="1"/>
    <col min="7" max="16384" width="9.140625" style="8" customWidth="1"/>
  </cols>
  <sheetData>
    <row r="1" spans="1:6" s="4" customFormat="1" ht="18.75" customHeight="1">
      <c r="A1" s="3"/>
      <c r="C1" s="5"/>
      <c r="F1" s="47" t="s">
        <v>42</v>
      </c>
    </row>
    <row r="2" spans="1:6" s="4" customFormat="1" ht="18.75" customHeight="1">
      <c r="A2" s="3"/>
      <c r="C2" s="5"/>
      <c r="F2" s="46"/>
    </row>
    <row r="3" spans="1:6" s="4" customFormat="1" ht="21" customHeight="1">
      <c r="A3" s="32" t="s">
        <v>448</v>
      </c>
      <c r="B3" s="6"/>
      <c r="C3" s="6"/>
      <c r="D3" s="6"/>
      <c r="E3" s="6"/>
      <c r="F3" s="7"/>
    </row>
    <row r="4" spans="3:7" ht="18.75">
      <c r="C4" s="9"/>
      <c r="D4" s="23"/>
      <c r="E4" s="24"/>
      <c r="F4" s="45" t="s">
        <v>10</v>
      </c>
      <c r="G4" s="10"/>
    </row>
    <row r="5" spans="1:6" s="41" customFormat="1" ht="15.75">
      <c r="A5" s="426" t="s">
        <v>0</v>
      </c>
      <c r="B5" s="429" t="s">
        <v>9</v>
      </c>
      <c r="C5" s="429" t="s">
        <v>434</v>
      </c>
      <c r="D5" s="429" t="s">
        <v>449</v>
      </c>
      <c r="E5" s="447" t="s">
        <v>12</v>
      </c>
      <c r="F5" s="447"/>
    </row>
    <row r="6" spans="1:6" s="41" customFormat="1" ht="15.75">
      <c r="A6" s="427"/>
      <c r="B6" s="430"/>
      <c r="C6" s="430"/>
      <c r="D6" s="430"/>
      <c r="E6" s="426" t="s">
        <v>13</v>
      </c>
      <c r="F6" s="426" t="s">
        <v>430</v>
      </c>
    </row>
    <row r="7" spans="1:6" s="41" customFormat="1" ht="15.75">
      <c r="A7" s="427"/>
      <c r="B7" s="430"/>
      <c r="C7" s="430"/>
      <c r="D7" s="430"/>
      <c r="E7" s="427"/>
      <c r="F7" s="427"/>
    </row>
    <row r="8" spans="1:6" s="13" customFormat="1" ht="15.75">
      <c r="A8" s="428"/>
      <c r="B8" s="431"/>
      <c r="C8" s="431"/>
      <c r="D8" s="431"/>
      <c r="E8" s="428"/>
      <c r="F8" s="428"/>
    </row>
    <row r="9" spans="1:6" s="234" customFormat="1" ht="15.75">
      <c r="A9" s="232" t="s">
        <v>1</v>
      </c>
      <c r="B9" s="232" t="s">
        <v>6</v>
      </c>
      <c r="C9" s="233" t="s">
        <v>51</v>
      </c>
      <c r="D9" s="233" t="s">
        <v>52</v>
      </c>
      <c r="E9" s="235" t="s">
        <v>11</v>
      </c>
      <c r="F9" s="235" t="s">
        <v>14</v>
      </c>
    </row>
    <row r="10" spans="1:6" s="2" customFormat="1" ht="15.75">
      <c r="A10" s="17" t="s">
        <v>1</v>
      </c>
      <c r="B10" s="18" t="s">
        <v>15</v>
      </c>
      <c r="C10" s="27">
        <f>C11+C14+C17+C18+C19</f>
        <v>1302971</v>
      </c>
      <c r="D10" s="27">
        <f>D11+D14+D17+D18+D19</f>
        <v>1633619</v>
      </c>
      <c r="E10" s="27">
        <f>E11+E14+E17+E18+E19</f>
        <v>330648</v>
      </c>
      <c r="F10" s="29">
        <f aca="true" t="shared" si="0" ref="F10:F16">D10/C10*100</f>
        <v>125.37646655221029</v>
      </c>
    </row>
    <row r="11" spans="1:6" s="2" customFormat="1" ht="15.75">
      <c r="A11" s="19" t="s">
        <v>2</v>
      </c>
      <c r="B11" s="36" t="s">
        <v>16</v>
      </c>
      <c r="C11" s="25">
        <f>SUM(C12:C13)</f>
        <v>203048</v>
      </c>
      <c r="D11" s="25">
        <f>SUM(D12:D13)</f>
        <v>197498</v>
      </c>
      <c r="E11" s="25">
        <f>D11-C11</f>
        <v>-5550</v>
      </c>
      <c r="F11" s="30">
        <f t="shared" si="0"/>
        <v>97.26665616011978</v>
      </c>
    </row>
    <row r="12" spans="1:6" s="1" customFormat="1" ht="15.75">
      <c r="A12" s="37">
        <v>1</v>
      </c>
      <c r="B12" s="38" t="s">
        <v>43</v>
      </c>
      <c r="C12" s="28">
        <f>'[2]sheet1'!C22+'[2]sheet1'!C25+'[2]sheet1'!C30+'[2]sheet1'!C31+'[2]sheet1'!C32</f>
        <v>65224</v>
      </c>
      <c r="D12" s="28">
        <f>'[2]sheet1'!G22+'[2]sheet1'!G25+'[2]sheet1'!G30+'[2]sheet1'!G31+'[2]sheet1'!G32</f>
        <v>78831</v>
      </c>
      <c r="E12" s="28">
        <f>D12-C12</f>
        <v>13607</v>
      </c>
      <c r="F12" s="31">
        <f t="shared" si="0"/>
        <v>120.86195265546425</v>
      </c>
    </row>
    <row r="13" spans="1:6" s="1" customFormat="1" ht="15.75">
      <c r="A13" s="37">
        <v>2</v>
      </c>
      <c r="B13" s="38" t="s">
        <v>44</v>
      </c>
      <c r="C13" s="28">
        <f>'[2]sheet1'!C14</f>
        <v>137824</v>
      </c>
      <c r="D13" s="28">
        <f>'[2]sheet1'!G14</f>
        <v>118667</v>
      </c>
      <c r="E13" s="28">
        <f>D13-C13</f>
        <v>-19157</v>
      </c>
      <c r="F13" s="31">
        <f t="shared" si="0"/>
        <v>86.10038890178778</v>
      </c>
    </row>
    <row r="14" spans="1:6" s="2" customFormat="1" ht="15.75">
      <c r="A14" s="19" t="s">
        <v>3</v>
      </c>
      <c r="B14" s="36" t="s">
        <v>17</v>
      </c>
      <c r="C14" s="25">
        <f>SUM(C15:C16)</f>
        <v>1096778</v>
      </c>
      <c r="D14" s="25">
        <f>SUM(D15:D16)</f>
        <v>1107224</v>
      </c>
      <c r="E14" s="25">
        <f>SUM(E15:E16)</f>
        <v>10446</v>
      </c>
      <c r="F14" s="30">
        <f t="shared" si="0"/>
        <v>100.95242610628587</v>
      </c>
    </row>
    <row r="15" spans="1:6" s="2" customFormat="1" ht="15.75">
      <c r="A15" s="37">
        <v>1</v>
      </c>
      <c r="B15" s="38" t="s">
        <v>18</v>
      </c>
      <c r="C15" s="28">
        <v>972442</v>
      </c>
      <c r="D15" s="28">
        <f>C15</f>
        <v>972442</v>
      </c>
      <c r="E15" s="28">
        <f>D15-C15</f>
        <v>0</v>
      </c>
      <c r="F15" s="31">
        <f t="shared" si="0"/>
        <v>100</v>
      </c>
    </row>
    <row r="16" spans="1:6" s="2" customFormat="1" ht="15.75">
      <c r="A16" s="37">
        <f>A15+1</f>
        <v>2</v>
      </c>
      <c r="B16" s="38" t="s">
        <v>19</v>
      </c>
      <c r="C16" s="28">
        <f>'[2]sheet1'!C33-C15</f>
        <v>124336</v>
      </c>
      <c r="D16" s="28">
        <f>'[2]sheet1'!G33-D15</f>
        <v>134782</v>
      </c>
      <c r="E16" s="28">
        <f>D16-C16</f>
        <v>10446</v>
      </c>
      <c r="F16" s="31">
        <f t="shared" si="0"/>
        <v>108.4014283875949</v>
      </c>
    </row>
    <row r="17" spans="1:6" s="11" customFormat="1" ht="15.75">
      <c r="A17" s="19" t="s">
        <v>4</v>
      </c>
      <c r="B17" s="36" t="s">
        <v>45</v>
      </c>
      <c r="C17" s="25"/>
      <c r="D17" s="25"/>
      <c r="E17" s="25">
        <f>D17-C17</f>
        <v>0</v>
      </c>
      <c r="F17" s="30"/>
    </row>
    <row r="18" spans="1:6" s="11" customFormat="1" ht="15.75">
      <c r="A18" s="19" t="s">
        <v>21</v>
      </c>
      <c r="B18" s="36" t="s">
        <v>20</v>
      </c>
      <c r="C18" s="25">
        <f>'[2]sheet1'!C35</f>
        <v>0</v>
      </c>
      <c r="D18" s="25">
        <f>'[2]sheet1'!G35</f>
        <v>278945</v>
      </c>
      <c r="E18" s="25">
        <f>D18-C18</f>
        <v>278945</v>
      </c>
      <c r="F18" s="30"/>
    </row>
    <row r="19" spans="1:6" s="12" customFormat="1" ht="15.75">
      <c r="A19" s="19" t="s">
        <v>46</v>
      </c>
      <c r="B19" s="36" t="s">
        <v>22</v>
      </c>
      <c r="C19" s="25">
        <f>'[2]sheet1'!C34+'[2]sheet1'!C36</f>
        <v>3145</v>
      </c>
      <c r="D19" s="25">
        <f>'[2]sheet1'!G34</f>
        <v>49952</v>
      </c>
      <c r="E19" s="25">
        <f>D19-C19</f>
        <v>46807</v>
      </c>
      <c r="F19" s="30">
        <f>D19/C19*100</f>
        <v>1588.2988871224165</v>
      </c>
    </row>
    <row r="20" spans="1:6" s="13" customFormat="1" ht="15.75">
      <c r="A20" s="21" t="s">
        <v>6</v>
      </c>
      <c r="B20" s="22" t="s">
        <v>23</v>
      </c>
      <c r="C20" s="26">
        <f>C21+C28+C31</f>
        <v>1302971</v>
      </c>
      <c r="D20" s="26">
        <f>D21+D28+D31</f>
        <v>1375023</v>
      </c>
      <c r="E20" s="26">
        <f>E21+E28+E31</f>
        <v>72052</v>
      </c>
      <c r="F20" s="30">
        <f>D20/C20*100</f>
        <v>105.5298237643048</v>
      </c>
    </row>
    <row r="21" spans="1:6" s="12" customFormat="1" ht="15.75">
      <c r="A21" s="19" t="s">
        <v>2</v>
      </c>
      <c r="B21" s="36" t="s">
        <v>24</v>
      </c>
      <c r="C21" s="26">
        <f>SUM(C22:C27)</f>
        <v>1296541</v>
      </c>
      <c r="D21" s="26">
        <f>SUM(D22:D27)</f>
        <v>1368593</v>
      </c>
      <c r="E21" s="26">
        <f>SUM(E22:E27)</f>
        <v>72052</v>
      </c>
      <c r="F21" s="30">
        <f aca="true" t="shared" si="1" ref="F21:F30">D21/C21*100</f>
        <v>105.55724809319567</v>
      </c>
    </row>
    <row r="22" spans="1:6" s="12" customFormat="1" ht="15.75">
      <c r="A22" s="37">
        <v>1</v>
      </c>
      <c r="B22" s="38" t="s">
        <v>25</v>
      </c>
      <c r="C22" s="20">
        <f>'[3]sheet1'!B14</f>
        <v>123293</v>
      </c>
      <c r="D22" s="20">
        <f>'[3]sheet1'!C14</f>
        <v>129093</v>
      </c>
      <c r="E22" s="28">
        <f>D22-C22</f>
        <v>5800</v>
      </c>
      <c r="F22" s="31">
        <f t="shared" si="1"/>
        <v>104.70424111668952</v>
      </c>
    </row>
    <row r="23" spans="1:6" s="12" customFormat="1" ht="15.75">
      <c r="A23" s="37">
        <f>A22+1</f>
        <v>2</v>
      </c>
      <c r="B23" s="38" t="s">
        <v>7</v>
      </c>
      <c r="C23" s="20">
        <f>'[3]sheet1'!B19-C26-C28</f>
        <v>1146718</v>
      </c>
      <c r="D23" s="20">
        <f>'[3]sheet1'!C19+'[3]sheet1'!C55+'[3]sheet1'!C58-D26-D28</f>
        <v>1239500</v>
      </c>
      <c r="E23" s="28">
        <f>D23-C23</f>
        <v>92782</v>
      </c>
      <c r="F23" s="31">
        <f t="shared" si="1"/>
        <v>108.09109127091403</v>
      </c>
    </row>
    <row r="24" spans="1:6" s="12" customFormat="1" ht="15.75">
      <c r="A24" s="37">
        <f>A23+1</f>
        <v>3</v>
      </c>
      <c r="B24" s="38" t="s">
        <v>47</v>
      </c>
      <c r="C24" s="20"/>
      <c r="D24" s="20"/>
      <c r="E24" s="28">
        <f>D24-C24</f>
        <v>0</v>
      </c>
      <c r="F24" s="31"/>
    </row>
    <row r="25" spans="1:6" s="12" customFormat="1" ht="15.75">
      <c r="A25" s="37">
        <v>4</v>
      </c>
      <c r="B25" s="38" t="s">
        <v>48</v>
      </c>
      <c r="C25" s="20"/>
      <c r="D25" s="20"/>
      <c r="E25" s="28"/>
      <c r="F25" s="31"/>
    </row>
    <row r="26" spans="1:6" s="12" customFormat="1" ht="15.75">
      <c r="A26" s="37">
        <v>5</v>
      </c>
      <c r="B26" s="38" t="s">
        <v>8</v>
      </c>
      <c r="C26" s="20">
        <f>'B22'!C25</f>
        <v>26530</v>
      </c>
      <c r="D26" s="20">
        <f>'[3]sheet1'!C53</f>
        <v>0</v>
      </c>
      <c r="E26" s="28">
        <f>D26-C26</f>
        <v>-26530</v>
      </c>
      <c r="F26" s="31">
        <f t="shared" si="1"/>
        <v>0</v>
      </c>
    </row>
    <row r="27" spans="1:6" s="12" customFormat="1" ht="15.75">
      <c r="A27" s="37">
        <f>A26+1</f>
        <v>6</v>
      </c>
      <c r="B27" s="38" t="s">
        <v>26</v>
      </c>
      <c r="C27" s="20"/>
      <c r="D27" s="20"/>
      <c r="E27" s="28">
        <f>D27-C27</f>
        <v>0</v>
      </c>
      <c r="F27" s="31"/>
    </row>
    <row r="28" spans="1:6" s="12" customFormat="1" ht="15.75">
      <c r="A28" s="19" t="s">
        <v>3</v>
      </c>
      <c r="B28" s="36" t="s">
        <v>27</v>
      </c>
      <c r="C28" s="26">
        <f>SUM(C29:C30)</f>
        <v>6430</v>
      </c>
      <c r="D28" s="26">
        <f>SUM(D29:D30)</f>
        <v>6430</v>
      </c>
      <c r="E28" s="26">
        <f>SUM(E29:E30)</f>
        <v>0</v>
      </c>
      <c r="F28" s="30">
        <f t="shared" si="1"/>
        <v>100</v>
      </c>
    </row>
    <row r="29" spans="1:6" s="12" customFormat="1" ht="15.75">
      <c r="A29" s="37">
        <v>1</v>
      </c>
      <c r="B29" s="38" t="s">
        <v>28</v>
      </c>
      <c r="C29" s="20"/>
      <c r="D29" s="20"/>
      <c r="E29" s="28">
        <f>D29-C29</f>
        <v>0</v>
      </c>
      <c r="F29" s="31"/>
    </row>
    <row r="30" spans="1:6" s="14" customFormat="1" ht="15.75">
      <c r="A30" s="37">
        <f>A29+1</f>
        <v>2</v>
      </c>
      <c r="B30" s="38" t="s">
        <v>29</v>
      </c>
      <c r="C30" s="20">
        <f>'B14'!C30</f>
        <v>6430</v>
      </c>
      <c r="D30" s="20">
        <f>'B14'!D30</f>
        <v>6430</v>
      </c>
      <c r="E30" s="28">
        <f>D30-C30</f>
        <v>0</v>
      </c>
      <c r="F30" s="31">
        <f t="shared" si="1"/>
        <v>100</v>
      </c>
    </row>
    <row r="31" spans="1:6" s="12" customFormat="1" ht="15.75">
      <c r="A31" s="39" t="s">
        <v>4</v>
      </c>
      <c r="B31" s="40" t="s">
        <v>30</v>
      </c>
      <c r="C31" s="42"/>
      <c r="D31" s="42"/>
      <c r="E31" s="44">
        <f>D31-C31</f>
        <v>0</v>
      </c>
      <c r="F31" s="43"/>
    </row>
    <row r="32" spans="1:6" s="12" customFormat="1" ht="15.75">
      <c r="A32" s="16" t="s">
        <v>488</v>
      </c>
      <c r="B32" s="16"/>
      <c r="C32" s="16"/>
      <c r="D32" s="355"/>
      <c r="E32" s="16"/>
      <c r="F32" s="355">
        <f>'[3]sheet1'!C55</f>
        <v>30206</v>
      </c>
    </row>
    <row r="33" spans="3:6" ht="15.75" hidden="1">
      <c r="C33" s="33" t="s">
        <v>49</v>
      </c>
      <c r="D33" s="33"/>
      <c r="E33" s="33"/>
      <c r="F33" s="33"/>
    </row>
    <row r="34" spans="3:6" ht="15.75" hidden="1">
      <c r="C34" s="34" t="s">
        <v>39</v>
      </c>
      <c r="D34" s="34"/>
      <c r="E34" s="34"/>
      <c r="F34" s="34"/>
    </row>
    <row r="35" spans="3:6" ht="15.75" hidden="1">
      <c r="C35" s="34" t="s">
        <v>5</v>
      </c>
      <c r="D35" s="34"/>
      <c r="E35" s="34"/>
      <c r="F35" s="34"/>
    </row>
    <row r="36" spans="3:6" ht="15.75" hidden="1">
      <c r="C36" s="35"/>
      <c r="D36" s="35"/>
      <c r="E36" s="35"/>
      <c r="F36" s="35"/>
    </row>
    <row r="37" spans="3:6" ht="15.75" hidden="1">
      <c r="C37" s="35"/>
      <c r="D37" s="35"/>
      <c r="E37" s="35"/>
      <c r="F37" s="35"/>
    </row>
    <row r="38" spans="3:6" ht="15.75" hidden="1">
      <c r="C38" s="35"/>
      <c r="D38" s="35"/>
      <c r="E38" s="35"/>
      <c r="F38" s="35"/>
    </row>
    <row r="39" spans="3:6" ht="15.75" hidden="1">
      <c r="C39" s="35"/>
      <c r="D39" s="35"/>
      <c r="E39" s="35"/>
      <c r="F39" s="35"/>
    </row>
    <row r="40" spans="3:6" ht="15.75" hidden="1">
      <c r="C40" s="35"/>
      <c r="D40" s="35"/>
      <c r="E40" s="35"/>
      <c r="F40" s="35"/>
    </row>
    <row r="41" spans="3:6" ht="15.75" hidden="1">
      <c r="C41" s="35"/>
      <c r="D41" s="35"/>
      <c r="E41" s="35"/>
      <c r="F41" s="35"/>
    </row>
    <row r="42" spans="3:6" ht="15.75" hidden="1">
      <c r="C42" s="34" t="s">
        <v>40</v>
      </c>
      <c r="D42" s="34"/>
      <c r="E42" s="34"/>
      <c r="F42" s="34"/>
    </row>
    <row r="43" spans="3:6" ht="15.75">
      <c r="C43" s="15"/>
      <c r="D43" s="15"/>
      <c r="E43" s="15"/>
      <c r="F43" s="15"/>
    </row>
    <row r="44" spans="3:6" ht="15.75">
      <c r="C44" s="15"/>
      <c r="D44" s="15"/>
      <c r="E44" s="15"/>
      <c r="F44" s="15"/>
    </row>
    <row r="45" spans="3:6" ht="15.75">
      <c r="C45" s="15"/>
      <c r="D45" s="15"/>
      <c r="E45" s="15"/>
      <c r="F45" s="15"/>
    </row>
    <row r="46" spans="3:6" ht="15.75">
      <c r="C46" s="15"/>
      <c r="D46" s="15"/>
      <c r="E46" s="15"/>
      <c r="F46" s="15"/>
    </row>
    <row r="47" spans="3:6" ht="15.75">
      <c r="C47" s="15"/>
      <c r="D47" s="15"/>
      <c r="E47" s="15"/>
      <c r="F47" s="15"/>
    </row>
    <row r="48" spans="3:6" ht="15.75">
      <c r="C48" s="15"/>
      <c r="D48" s="15"/>
      <c r="E48" s="15"/>
      <c r="F48" s="15"/>
    </row>
    <row r="49" spans="3:6" ht="15.75">
      <c r="C49" s="15"/>
      <c r="D49" s="15"/>
      <c r="E49" s="15"/>
      <c r="F49" s="15"/>
    </row>
    <row r="50" spans="3:6" ht="15.75">
      <c r="C50" s="15"/>
      <c r="D50" s="15"/>
      <c r="E50" s="15"/>
      <c r="F50" s="15"/>
    </row>
    <row r="51" spans="3:6" ht="15.75">
      <c r="C51" s="15"/>
      <c r="D51" s="15"/>
      <c r="E51" s="15"/>
      <c r="F51" s="15"/>
    </row>
    <row r="52" spans="3:6" ht="15.75">
      <c r="C52" s="15"/>
      <c r="D52" s="15"/>
      <c r="E52" s="15"/>
      <c r="F52" s="15"/>
    </row>
    <row r="53" spans="3:6" ht="15.75">
      <c r="C53" s="15"/>
      <c r="D53" s="15"/>
      <c r="E53" s="15"/>
      <c r="F53" s="15"/>
    </row>
    <row r="54" spans="3:6" ht="15.75">
      <c r="C54" s="15"/>
      <c r="D54" s="15"/>
      <c r="E54" s="15"/>
      <c r="F54" s="15"/>
    </row>
    <row r="55" spans="3:6" ht="15.75">
      <c r="C55" s="15"/>
      <c r="D55" s="15"/>
      <c r="E55" s="15"/>
      <c r="F55" s="15"/>
    </row>
    <row r="56" spans="3:6" ht="15.75">
      <c r="C56" s="15"/>
      <c r="D56" s="15"/>
      <c r="E56" s="15"/>
      <c r="F56" s="15"/>
    </row>
    <row r="57" spans="3:6" ht="15.75">
      <c r="C57" s="15"/>
      <c r="D57" s="15"/>
      <c r="E57" s="15"/>
      <c r="F57" s="15"/>
    </row>
    <row r="58" spans="3:6" ht="15.75">
      <c r="C58" s="15"/>
      <c r="D58" s="15"/>
      <c r="E58" s="15"/>
      <c r="F58" s="15"/>
    </row>
    <row r="59" spans="3:6" ht="15.75">
      <c r="C59" s="15"/>
      <c r="D59" s="15"/>
      <c r="E59" s="15"/>
      <c r="F59" s="15"/>
    </row>
    <row r="68" spans="1:6" s="1" customFormat="1" ht="15.75">
      <c r="A68" s="2"/>
      <c r="B68" s="8"/>
      <c r="C68" s="8"/>
      <c r="D68" s="8"/>
      <c r="E68" s="8"/>
      <c r="F68" s="8"/>
    </row>
    <row r="69" spans="1:6" s="1" customFormat="1" ht="15.75">
      <c r="A69" s="2"/>
      <c r="B69" s="8"/>
      <c r="C69" s="8"/>
      <c r="D69" s="8"/>
      <c r="E69" s="8"/>
      <c r="F69" s="8"/>
    </row>
    <row r="70" spans="1:6" s="1" customFormat="1" ht="15.75">
      <c r="A70" s="2"/>
      <c r="B70" s="8"/>
      <c r="C70" s="8"/>
      <c r="D70" s="8"/>
      <c r="E70" s="8"/>
      <c r="F70" s="8"/>
    </row>
    <row r="71" spans="1:6" s="1" customFormat="1" ht="15.75">
      <c r="A71" s="2"/>
      <c r="B71" s="8"/>
      <c r="C71" s="8"/>
      <c r="D71" s="8"/>
      <c r="E71" s="8"/>
      <c r="F71" s="8"/>
    </row>
    <row r="72" spans="1:6" s="1" customFormat="1" ht="15.75">
      <c r="A72" s="2"/>
      <c r="B72" s="8"/>
      <c r="C72" s="8"/>
      <c r="D72" s="8"/>
      <c r="E72" s="8"/>
      <c r="F72" s="8"/>
    </row>
    <row r="73" spans="1:6" s="1" customFormat="1" ht="15.75">
      <c r="A73" s="2"/>
      <c r="B73" s="8"/>
      <c r="C73" s="8"/>
      <c r="D73" s="8"/>
      <c r="E73" s="8"/>
      <c r="F73" s="8"/>
    </row>
    <row r="74" spans="1:6" s="1" customFormat="1" ht="15.75">
      <c r="A74" s="2"/>
      <c r="B74" s="8"/>
      <c r="C74" s="8"/>
      <c r="D74" s="8"/>
      <c r="E74" s="8"/>
      <c r="F74" s="8"/>
    </row>
    <row r="75" spans="1:6" s="1" customFormat="1" ht="15.75">
      <c r="A75" s="2"/>
      <c r="B75" s="8"/>
      <c r="C75" s="8"/>
      <c r="D75" s="8"/>
      <c r="E75" s="8"/>
      <c r="F75" s="8"/>
    </row>
  </sheetData>
  <sheetProtection/>
  <mergeCells count="7">
    <mergeCell ref="A5:A8"/>
    <mergeCell ref="B5:B8"/>
    <mergeCell ref="C5:C8"/>
    <mergeCell ref="D5:D8"/>
    <mergeCell ref="E5:F5"/>
    <mergeCell ref="E6:E8"/>
    <mergeCell ref="F6:F8"/>
  </mergeCells>
  <printOptions/>
  <pageMargins left="0.5" right="0.5" top="0.5" bottom="0.5"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47"/>
  <sheetViews>
    <sheetView showZeros="0" zoomScale="120" zoomScaleNormal="120" zoomScalePageLayoutView="0" workbookViewId="0" topLeftCell="A1">
      <selection activeCell="A1" sqref="A1:F1"/>
    </sheetView>
  </sheetViews>
  <sheetFormatPr defaultColWidth="9.140625" defaultRowHeight="15"/>
  <cols>
    <col min="1" max="1" width="5.00390625" style="101" customWidth="1"/>
    <col min="2" max="2" width="45.57421875" style="100" customWidth="1"/>
    <col min="3" max="3" width="10.7109375" style="100" customWidth="1"/>
    <col min="4" max="4" width="10.421875" style="100" customWidth="1"/>
    <col min="5" max="6" width="10.140625" style="100" customWidth="1"/>
    <col min="7" max="16384" width="9.140625" style="100" customWidth="1"/>
  </cols>
  <sheetData>
    <row r="1" spans="1:6" s="99" customFormat="1" ht="14.25">
      <c r="A1" s="457" t="s">
        <v>95</v>
      </c>
      <c r="B1" s="457"/>
      <c r="C1" s="457"/>
      <c r="D1" s="457"/>
      <c r="E1" s="457"/>
      <c r="F1" s="457"/>
    </row>
    <row r="2" spans="1:6" ht="18.75">
      <c r="A2" s="458" t="s">
        <v>112</v>
      </c>
      <c r="B2" s="458"/>
      <c r="C2" s="458"/>
      <c r="D2" s="458"/>
      <c r="E2" s="458"/>
      <c r="F2" s="458"/>
    </row>
    <row r="3" spans="1:6" ht="18.75">
      <c r="A3" s="458" t="s">
        <v>451</v>
      </c>
      <c r="B3" s="458"/>
      <c r="C3" s="458"/>
      <c r="D3" s="458"/>
      <c r="E3" s="458"/>
      <c r="F3" s="458"/>
    </row>
    <row r="4" spans="1:6" ht="15.75">
      <c r="A4" s="105"/>
      <c r="B4" s="105"/>
      <c r="C4" s="105"/>
      <c r="D4" s="105"/>
      <c r="E4" s="459" t="s">
        <v>10</v>
      </c>
      <c r="F4" s="459"/>
    </row>
    <row r="5" spans="1:6" s="99" customFormat="1" ht="14.25">
      <c r="A5" s="456" t="s">
        <v>0</v>
      </c>
      <c r="B5" s="456" t="s">
        <v>9</v>
      </c>
      <c r="C5" s="456" t="s">
        <v>434</v>
      </c>
      <c r="D5" s="456" t="s">
        <v>452</v>
      </c>
      <c r="E5" s="456" t="s">
        <v>12</v>
      </c>
      <c r="F5" s="456"/>
    </row>
    <row r="6" spans="1:6" s="99" customFormat="1" ht="28.5">
      <c r="A6" s="456"/>
      <c r="B6" s="456"/>
      <c r="C6" s="456"/>
      <c r="D6" s="456"/>
      <c r="E6" s="340" t="s">
        <v>13</v>
      </c>
      <c r="F6" s="340" t="s">
        <v>99</v>
      </c>
    </row>
    <row r="7" spans="1:6" s="241" customFormat="1" ht="15">
      <c r="A7" s="240" t="s">
        <v>1</v>
      </c>
      <c r="B7" s="240" t="s">
        <v>6</v>
      </c>
      <c r="C7" s="240">
        <v>1</v>
      </c>
      <c r="D7" s="240">
        <v>2</v>
      </c>
      <c r="E7" s="240" t="s">
        <v>11</v>
      </c>
      <c r="F7" s="240" t="s">
        <v>14</v>
      </c>
    </row>
    <row r="8" spans="1:6" s="102" customFormat="1" ht="15.75">
      <c r="A8" s="111"/>
      <c r="B8" s="112" t="s">
        <v>23</v>
      </c>
      <c r="C8" s="113">
        <f>SUM(C9,C28,C33)</f>
        <v>1302971</v>
      </c>
      <c r="D8" s="113">
        <f>SUM(D9,D28,D33)</f>
        <v>1375023</v>
      </c>
      <c r="E8" s="113">
        <f>SUM(E9,E28,E33)</f>
        <v>72052</v>
      </c>
      <c r="F8" s="29">
        <f>D8/C8*100</f>
        <v>105.5298237643048</v>
      </c>
    </row>
    <row r="9" spans="1:6" s="102" customFormat="1" ht="15.75">
      <c r="A9" s="114" t="s">
        <v>1</v>
      </c>
      <c r="B9" s="115" t="s">
        <v>96</v>
      </c>
      <c r="C9" s="116">
        <f>SUM(C10,C20,C24:C27)</f>
        <v>1296541</v>
      </c>
      <c r="D9" s="116">
        <f>SUM(D10,D20,D24:D27)</f>
        <v>1368593</v>
      </c>
      <c r="E9" s="116">
        <f>SUM(E10,E20,E24:E27)</f>
        <v>72052</v>
      </c>
      <c r="F9" s="30">
        <f>D9/C9*100</f>
        <v>105.55724809319567</v>
      </c>
    </row>
    <row r="10" spans="1:6" s="102" customFormat="1" ht="15.75">
      <c r="A10" s="114" t="s">
        <v>2</v>
      </c>
      <c r="B10" s="115" t="s">
        <v>93</v>
      </c>
      <c r="C10" s="116">
        <f>'B12'!C22</f>
        <v>123293</v>
      </c>
      <c r="D10" s="116">
        <f>'B12'!D22</f>
        <v>129093</v>
      </c>
      <c r="E10" s="116">
        <f>'B12'!E22</f>
        <v>5800</v>
      </c>
      <c r="F10" s="30">
        <f>D10/C10*100</f>
        <v>104.70424111668952</v>
      </c>
    </row>
    <row r="11" spans="1:6" s="102" customFormat="1" ht="15.75">
      <c r="A11" s="117">
        <v>1</v>
      </c>
      <c r="B11" s="118" t="s">
        <v>94</v>
      </c>
      <c r="C11" s="119">
        <f>C10-C18-C19</f>
        <v>123153</v>
      </c>
      <c r="D11" s="119">
        <f>D10-D18-D19</f>
        <v>126424</v>
      </c>
      <c r="E11" s="119">
        <f>D11-C11</f>
        <v>3271</v>
      </c>
      <c r="F11" s="31">
        <f>D11/C11*100</f>
        <v>102.65604573173208</v>
      </c>
    </row>
    <row r="12" spans="1:6" s="102" customFormat="1" ht="15">
      <c r="A12" s="117"/>
      <c r="B12" s="120" t="s">
        <v>97</v>
      </c>
      <c r="C12" s="119"/>
      <c r="D12" s="119"/>
      <c r="E12" s="119"/>
      <c r="F12" s="121"/>
    </row>
    <row r="13" spans="1:6" s="102" customFormat="1" ht="15">
      <c r="A13" s="117"/>
      <c r="B13" s="120" t="s">
        <v>100</v>
      </c>
      <c r="C13" s="122"/>
      <c r="D13" s="122">
        <f>'B23'!D12</f>
        <v>8000</v>
      </c>
      <c r="E13" s="122"/>
      <c r="F13" s="123"/>
    </row>
    <row r="14" spans="1:6" s="102" customFormat="1" ht="15">
      <c r="A14" s="117"/>
      <c r="B14" s="120" t="s">
        <v>101</v>
      </c>
      <c r="C14" s="122"/>
      <c r="D14" s="122">
        <f>'B23'!D13</f>
        <v>0</v>
      </c>
      <c r="E14" s="122"/>
      <c r="F14" s="123"/>
    </row>
    <row r="15" spans="1:6" s="102" customFormat="1" ht="15">
      <c r="A15" s="117"/>
      <c r="B15" s="120" t="s">
        <v>98</v>
      </c>
      <c r="C15" s="119"/>
      <c r="D15" s="119"/>
      <c r="E15" s="119"/>
      <c r="F15" s="121"/>
    </row>
    <row r="16" spans="1:6" s="102" customFormat="1" ht="15">
      <c r="A16" s="117"/>
      <c r="B16" s="120" t="s">
        <v>102</v>
      </c>
      <c r="C16" s="351"/>
      <c r="D16" s="351">
        <f>24-24</f>
        <v>0</v>
      </c>
      <c r="E16" s="122"/>
      <c r="F16" s="123"/>
    </row>
    <row r="17" spans="1:6" s="102" customFormat="1" ht="15.75">
      <c r="A17" s="117"/>
      <c r="B17" s="120" t="s">
        <v>103</v>
      </c>
      <c r="C17" s="351">
        <f>18998-2833</f>
        <v>16165</v>
      </c>
      <c r="D17" s="351">
        <f>16446-2833</f>
        <v>13613</v>
      </c>
      <c r="E17" s="122">
        <f>D17-C17</f>
        <v>-2552</v>
      </c>
      <c r="F17" s="106">
        <f>D17/C17*100</f>
        <v>84.21280544386019</v>
      </c>
    </row>
    <row r="18" spans="1:6" s="102" customFormat="1" ht="60">
      <c r="A18" s="117">
        <v>2</v>
      </c>
      <c r="B18" s="118" t="s">
        <v>104</v>
      </c>
      <c r="C18" s="119"/>
      <c r="D18" s="119"/>
      <c r="E18" s="119"/>
      <c r="F18" s="121"/>
    </row>
    <row r="19" spans="1:6" s="102" customFormat="1" ht="15.75">
      <c r="A19" s="117">
        <v>3</v>
      </c>
      <c r="B19" s="118" t="s">
        <v>105</v>
      </c>
      <c r="C19" s="352">
        <v>140</v>
      </c>
      <c r="D19" s="352">
        <f>169+2500</f>
        <v>2669</v>
      </c>
      <c r="E19" s="119">
        <f>D19-C19</f>
        <v>2529</v>
      </c>
      <c r="F19" s="31">
        <f>D19/C19*100</f>
        <v>1906.4285714285713</v>
      </c>
    </row>
    <row r="20" spans="1:6" s="102" customFormat="1" ht="15.75">
      <c r="A20" s="114" t="s">
        <v>3</v>
      </c>
      <c r="B20" s="115" t="s">
        <v>7</v>
      </c>
      <c r="C20" s="116">
        <f>'B12'!C23</f>
        <v>1146718</v>
      </c>
      <c r="D20" s="116">
        <f>'B12'!D23</f>
        <v>1239500</v>
      </c>
      <c r="E20" s="116">
        <f>D20-C20</f>
        <v>92782</v>
      </c>
      <c r="F20" s="30">
        <f>D20/C20*100</f>
        <v>108.09109127091403</v>
      </c>
    </row>
    <row r="21" spans="1:6" s="102" customFormat="1" ht="15">
      <c r="A21" s="117"/>
      <c r="B21" s="120" t="s">
        <v>106</v>
      </c>
      <c r="C21" s="119"/>
      <c r="D21" s="119"/>
      <c r="E21" s="119"/>
      <c r="F21" s="121"/>
    </row>
    <row r="22" spans="1:6" s="102" customFormat="1" ht="15.75">
      <c r="A22" s="117">
        <v>1</v>
      </c>
      <c r="B22" s="120" t="s">
        <v>100</v>
      </c>
      <c r="C22" s="122">
        <f>'[3]sheet1'!B32-C32+'B22'!E21</f>
        <v>513474</v>
      </c>
      <c r="D22" s="122">
        <f>'[3]sheet1'!C32+'[3]sheet1'!C59-D32+'B27'!U9</f>
        <v>534863</v>
      </c>
      <c r="E22" s="122">
        <f>D22-C22</f>
        <v>21389</v>
      </c>
      <c r="F22" s="106">
        <f>D22/C22*100</f>
        <v>104.16554684365713</v>
      </c>
    </row>
    <row r="23" spans="1:6" s="102" customFormat="1" ht="15">
      <c r="A23" s="117">
        <v>2</v>
      </c>
      <c r="B23" s="120" t="s">
        <v>101</v>
      </c>
      <c r="C23" s="122"/>
      <c r="D23" s="122"/>
      <c r="E23" s="122"/>
      <c r="F23" s="123"/>
    </row>
    <row r="24" spans="1:6" s="102" customFormat="1" ht="28.5">
      <c r="A24" s="114" t="s">
        <v>4</v>
      </c>
      <c r="B24" s="115" t="s">
        <v>107</v>
      </c>
      <c r="C24" s="119"/>
      <c r="D24" s="119"/>
      <c r="E24" s="119"/>
      <c r="F24" s="121"/>
    </row>
    <row r="25" spans="1:6" s="102" customFormat="1" ht="15">
      <c r="A25" s="114" t="s">
        <v>21</v>
      </c>
      <c r="B25" s="115" t="s">
        <v>48</v>
      </c>
      <c r="C25" s="119"/>
      <c r="D25" s="119"/>
      <c r="E25" s="119"/>
      <c r="F25" s="121"/>
    </row>
    <row r="26" spans="1:6" s="103" customFormat="1" ht="15.75">
      <c r="A26" s="114" t="s">
        <v>46</v>
      </c>
      <c r="B26" s="115" t="s">
        <v>8</v>
      </c>
      <c r="C26" s="116">
        <f>'B12'!C26</f>
        <v>26530</v>
      </c>
      <c r="D26" s="116">
        <f>'B12'!D26</f>
        <v>0</v>
      </c>
      <c r="E26" s="116">
        <f>D26-C26</f>
        <v>-26530</v>
      </c>
      <c r="F26" s="30">
        <f>D26/C26*100</f>
        <v>0</v>
      </c>
    </row>
    <row r="27" spans="1:6" s="102" customFormat="1" ht="15">
      <c r="A27" s="114" t="s">
        <v>108</v>
      </c>
      <c r="B27" s="115" t="s">
        <v>109</v>
      </c>
      <c r="C27" s="119"/>
      <c r="D27" s="119"/>
      <c r="E27" s="119"/>
      <c r="F27" s="121"/>
    </row>
    <row r="28" spans="1:6" s="102" customFormat="1" ht="15.75">
      <c r="A28" s="114" t="s">
        <v>6</v>
      </c>
      <c r="B28" s="115" t="s">
        <v>110</v>
      </c>
      <c r="C28" s="116">
        <f>SUM(C29:C30)</f>
        <v>6430</v>
      </c>
      <c r="D28" s="116">
        <f>SUM(D29:D30)</f>
        <v>6430</v>
      </c>
      <c r="E28" s="116">
        <f>SUM(E29:E30)</f>
        <v>0</v>
      </c>
      <c r="F28" s="30">
        <f>D28/C28*100</f>
        <v>100</v>
      </c>
    </row>
    <row r="29" spans="1:6" s="102" customFormat="1" ht="15">
      <c r="A29" s="114" t="s">
        <v>2</v>
      </c>
      <c r="B29" s="115" t="s">
        <v>28</v>
      </c>
      <c r="C29" s="119"/>
      <c r="D29" s="119"/>
      <c r="E29" s="119"/>
      <c r="F29" s="121"/>
    </row>
    <row r="30" spans="1:6" s="102" customFormat="1" ht="15.75">
      <c r="A30" s="114" t="s">
        <v>3</v>
      </c>
      <c r="B30" s="115" t="s">
        <v>29</v>
      </c>
      <c r="C30" s="116">
        <f>SUM(C31:C32)</f>
        <v>6430</v>
      </c>
      <c r="D30" s="116">
        <f>SUM(D31:D32)</f>
        <v>6430</v>
      </c>
      <c r="E30" s="116">
        <f>SUM(E31:E32)</f>
        <v>0</v>
      </c>
      <c r="F30" s="30">
        <f>D30/C30*100</f>
        <v>100</v>
      </c>
    </row>
    <row r="31" spans="1:6" s="102" customFormat="1" ht="15.75">
      <c r="A31" s="117"/>
      <c r="B31" s="118" t="s">
        <v>113</v>
      </c>
      <c r="C31" s="119">
        <f>1159+2650+295+220+2106</f>
        <v>6430</v>
      </c>
      <c r="D31" s="352">
        <f>C31</f>
        <v>6430</v>
      </c>
      <c r="E31" s="119">
        <f>D31-C31</f>
        <v>0</v>
      </c>
      <c r="F31" s="31">
        <f>D31/C31*100</f>
        <v>100</v>
      </c>
    </row>
    <row r="32" spans="1:6" s="102" customFormat="1" ht="15.75">
      <c r="A32" s="117"/>
      <c r="B32" s="118" t="s">
        <v>360</v>
      </c>
      <c r="C32" s="119"/>
      <c r="D32" s="119">
        <f>'B12'!D31</f>
        <v>0</v>
      </c>
      <c r="E32" s="119">
        <f>D32-C32</f>
        <v>0</v>
      </c>
      <c r="F32" s="31"/>
    </row>
    <row r="33" spans="1:6" s="99" customFormat="1" ht="15">
      <c r="A33" s="107" t="s">
        <v>77</v>
      </c>
      <c r="B33" s="108" t="s">
        <v>111</v>
      </c>
      <c r="C33" s="109"/>
      <c r="D33" s="109"/>
      <c r="E33" s="109"/>
      <c r="F33" s="110"/>
    </row>
    <row r="34" spans="1:6" s="99" customFormat="1" ht="15">
      <c r="A34" s="455"/>
      <c r="B34" s="455"/>
      <c r="C34" s="455"/>
      <c r="D34" s="455"/>
      <c r="E34" s="455"/>
      <c r="F34" s="455"/>
    </row>
    <row r="35" spans="1:6" s="99" customFormat="1" ht="15">
      <c r="A35" s="105"/>
      <c r="B35" s="105"/>
      <c r="C35" s="105"/>
      <c r="D35" s="105"/>
      <c r="E35" s="105"/>
      <c r="F35" s="105"/>
    </row>
    <row r="36" spans="1:6" s="99" customFormat="1" ht="15">
      <c r="A36" s="105"/>
      <c r="B36" s="105"/>
      <c r="C36" s="105"/>
      <c r="D36" s="105"/>
      <c r="E36" s="105"/>
      <c r="F36" s="105"/>
    </row>
    <row r="37" spans="1:6" s="99" customFormat="1" ht="15">
      <c r="A37" s="105"/>
      <c r="B37" s="105"/>
      <c r="C37" s="105"/>
      <c r="D37" s="105"/>
      <c r="E37" s="105"/>
      <c r="F37" s="105"/>
    </row>
    <row r="38" spans="1:6" s="99" customFormat="1" ht="15">
      <c r="A38" s="105"/>
      <c r="B38" s="105"/>
      <c r="C38" s="105"/>
      <c r="D38" s="105"/>
      <c r="E38" s="105"/>
      <c r="F38" s="105"/>
    </row>
    <row r="39" spans="1:6" s="99" customFormat="1" ht="15">
      <c r="A39" s="105"/>
      <c r="B39" s="105"/>
      <c r="C39" s="105"/>
      <c r="D39" s="105"/>
      <c r="E39" s="105"/>
      <c r="F39" s="105"/>
    </row>
    <row r="40" spans="1:6" s="99" customFormat="1" ht="15">
      <c r="A40" s="105"/>
      <c r="B40" s="105"/>
      <c r="C40" s="105"/>
      <c r="D40" s="105"/>
      <c r="E40" s="105"/>
      <c r="F40" s="105"/>
    </row>
    <row r="41" spans="1:6" s="99" customFormat="1" ht="15">
      <c r="A41" s="105"/>
      <c r="B41" s="105"/>
      <c r="C41" s="105"/>
      <c r="D41" s="105"/>
      <c r="E41" s="105"/>
      <c r="F41" s="105"/>
    </row>
    <row r="42" spans="1:6" s="99" customFormat="1" ht="15">
      <c r="A42" s="105"/>
      <c r="B42" s="105"/>
      <c r="C42" s="105"/>
      <c r="D42" s="105"/>
      <c r="E42" s="105"/>
      <c r="F42" s="105"/>
    </row>
    <row r="43" spans="1:6" s="99" customFormat="1" ht="15">
      <c r="A43" s="105"/>
      <c r="B43" s="105"/>
      <c r="C43" s="105"/>
      <c r="D43" s="105"/>
      <c r="E43" s="105"/>
      <c r="F43" s="105"/>
    </row>
    <row r="44" spans="1:6" s="99" customFormat="1" ht="15">
      <c r="A44" s="105"/>
      <c r="B44" s="105"/>
      <c r="C44" s="105"/>
      <c r="D44" s="105"/>
      <c r="E44" s="105"/>
      <c r="F44" s="105"/>
    </row>
    <row r="45" spans="1:6" ht="15.75">
      <c r="A45" s="105"/>
      <c r="B45" s="105"/>
      <c r="C45" s="105"/>
      <c r="D45" s="105"/>
      <c r="E45" s="105"/>
      <c r="F45" s="105"/>
    </row>
    <row r="46" spans="2:6" ht="15.75">
      <c r="B46" s="104"/>
      <c r="C46" s="104"/>
      <c r="D46" s="104"/>
      <c r="E46" s="104"/>
      <c r="F46" s="104"/>
    </row>
    <row r="47" spans="2:6" ht="15.75">
      <c r="B47" s="104"/>
      <c r="C47" s="104"/>
      <c r="D47" s="104"/>
      <c r="E47" s="104"/>
      <c r="F47" s="104"/>
    </row>
  </sheetData>
  <sheetProtection/>
  <mergeCells count="10">
    <mergeCell ref="A34:F34"/>
    <mergeCell ref="A5:A6"/>
    <mergeCell ref="B5:B6"/>
    <mergeCell ref="C5:C6"/>
    <mergeCell ref="A1:F1"/>
    <mergeCell ref="A2:F2"/>
    <mergeCell ref="A3:F3"/>
    <mergeCell ref="E4:F4"/>
    <mergeCell ref="D5:D6"/>
    <mergeCell ref="E5:F5"/>
  </mergeCells>
  <printOptions/>
  <pageMargins left="0.5" right="0.5" top="0.748031496062992" bottom="0.748031496062992" header="0.31496062992126" footer="0.31496062992126"/>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64"/>
  <sheetViews>
    <sheetView showGridLines="0" showZeros="0" zoomScale="120" zoomScaleNormal="120" zoomScalePageLayoutView="0" workbookViewId="0" topLeftCell="A1">
      <pane xSplit="2" ySplit="8" topLeftCell="C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4.421875" style="48" customWidth="1"/>
    <col min="2" max="2" width="47.8515625" style="48" bestFit="1" customWidth="1"/>
    <col min="3" max="4" width="12.8515625" style="48" customWidth="1"/>
    <col min="5" max="6" width="12.8515625" style="49" customWidth="1"/>
    <col min="7" max="8" width="12.8515625" style="48" customWidth="1"/>
    <col min="9" max="9" width="10.8515625" style="48" bestFit="1" customWidth="1"/>
    <col min="10" max="16384" width="9.140625" style="48" customWidth="1"/>
  </cols>
  <sheetData>
    <row r="1" spans="1:8" ht="14.25">
      <c r="A1" s="418" t="s">
        <v>500</v>
      </c>
      <c r="H1" s="152" t="s">
        <v>513</v>
      </c>
    </row>
    <row r="2" ht="12.75">
      <c r="H2" s="50"/>
    </row>
    <row r="3" spans="1:8" s="51" customFormat="1" ht="16.5">
      <c r="A3" s="449" t="s">
        <v>456</v>
      </c>
      <c r="B3" s="449"/>
      <c r="C3" s="449"/>
      <c r="D3" s="449"/>
      <c r="E3" s="449"/>
      <c r="F3" s="449"/>
      <c r="G3" s="449"/>
      <c r="H3" s="449"/>
    </row>
    <row r="4" spans="1:8" s="53" customFormat="1" ht="15">
      <c r="A4" s="450" t="s">
        <v>501</v>
      </c>
      <c r="B4" s="450"/>
      <c r="C4" s="450"/>
      <c r="D4" s="450"/>
      <c r="E4" s="450"/>
      <c r="F4" s="450"/>
      <c r="G4" s="450"/>
      <c r="H4" s="450"/>
    </row>
    <row r="5" spans="3:8" ht="12.75">
      <c r="C5" s="54"/>
      <c r="D5" s="54"/>
      <c r="H5" s="50" t="str">
        <f>'[1]BS96'!F5</f>
        <v>ĐV: Triệu đồng</v>
      </c>
    </row>
    <row r="6" spans="1:8" ht="12.75">
      <c r="A6" s="451" t="s">
        <v>0</v>
      </c>
      <c r="B6" s="453" t="s">
        <v>9</v>
      </c>
      <c r="C6" s="454" t="s">
        <v>449</v>
      </c>
      <c r="D6" s="454"/>
      <c r="E6" s="454" t="s">
        <v>453</v>
      </c>
      <c r="F6" s="454"/>
      <c r="G6" s="454" t="s">
        <v>50</v>
      </c>
      <c r="H6" s="454"/>
    </row>
    <row r="7" spans="1:8" ht="25.5">
      <c r="A7" s="452"/>
      <c r="B7" s="453"/>
      <c r="C7" s="86" t="s">
        <v>431</v>
      </c>
      <c r="D7" s="86" t="s">
        <v>83</v>
      </c>
      <c r="E7" s="86" t="s">
        <v>431</v>
      </c>
      <c r="F7" s="86" t="s">
        <v>83</v>
      </c>
      <c r="G7" s="86" t="s">
        <v>431</v>
      </c>
      <c r="H7" s="86" t="s">
        <v>83</v>
      </c>
    </row>
    <row r="8" spans="1:8" ht="12.75">
      <c r="A8" s="55" t="s">
        <v>1</v>
      </c>
      <c r="B8" s="55" t="s">
        <v>6</v>
      </c>
      <c r="C8" s="55" t="s">
        <v>51</v>
      </c>
      <c r="D8" s="55" t="s">
        <v>52</v>
      </c>
      <c r="E8" s="56" t="s">
        <v>53</v>
      </c>
      <c r="F8" s="56" t="s">
        <v>54</v>
      </c>
      <c r="G8" s="55" t="s">
        <v>55</v>
      </c>
      <c r="H8" s="57" t="s">
        <v>56</v>
      </c>
    </row>
    <row r="9" spans="1:9" ht="12.75">
      <c r="A9" s="58"/>
      <c r="B9" s="59" t="s">
        <v>79</v>
      </c>
      <c r="C9" s="87">
        <f>C10+C61+C62</f>
        <v>1527000</v>
      </c>
      <c r="D9" s="87">
        <f>D10+D61+D62</f>
        <v>197498</v>
      </c>
      <c r="E9" s="87">
        <f>E10+E61+E62</f>
        <v>1577000</v>
      </c>
      <c r="F9" s="87">
        <f>F10+F61+F62</f>
        <v>207450</v>
      </c>
      <c r="G9" s="60">
        <f aca="true" t="shared" si="0" ref="G9:H11">E9/C9*100</f>
        <v>103.27439423706615</v>
      </c>
      <c r="H9" s="61">
        <f>F9/D9*100</f>
        <v>105.03903837000881</v>
      </c>
      <c r="I9" s="54"/>
    </row>
    <row r="10" spans="1:9" ht="12.75">
      <c r="A10" s="62" t="s">
        <v>1</v>
      </c>
      <c r="B10" s="63" t="s">
        <v>57</v>
      </c>
      <c r="C10" s="88">
        <f>C11+C58+C59+C60</f>
        <v>1527000</v>
      </c>
      <c r="D10" s="88">
        <f>D11+D58+D59+D60</f>
        <v>197498</v>
      </c>
      <c r="E10" s="88">
        <f>E11+E58+E59+E60</f>
        <v>1577000</v>
      </c>
      <c r="F10" s="88">
        <f>F11+F58+F59+F60</f>
        <v>207450</v>
      </c>
      <c r="G10" s="60">
        <f t="shared" si="0"/>
        <v>103.27439423706615</v>
      </c>
      <c r="H10" s="61">
        <f t="shared" si="0"/>
        <v>105.03903837000881</v>
      </c>
      <c r="I10" s="49"/>
    </row>
    <row r="11" spans="1:9" ht="12.75">
      <c r="A11" s="62" t="s">
        <v>2</v>
      </c>
      <c r="B11" s="63" t="s">
        <v>31</v>
      </c>
      <c r="C11" s="89">
        <f>C12+C18+C24+C30+SUM(C37:C40)+SUM(C45:C57)</f>
        <v>1527000</v>
      </c>
      <c r="D11" s="89">
        <f>D12+D18+D24+D30+SUM(D37:D40)+SUM(D45:D57)</f>
        <v>197498</v>
      </c>
      <c r="E11" s="89">
        <f>E12+E18+E24+E30+SUM(E37:E40)+SUM(E45:E57)</f>
        <v>1577000</v>
      </c>
      <c r="F11" s="89">
        <f>F12+F18+F24+F30+SUM(F37:F40)+SUM(F45:F57)</f>
        <v>207450</v>
      </c>
      <c r="G11" s="60">
        <f t="shared" si="0"/>
        <v>103.27439423706615</v>
      </c>
      <c r="H11" s="61">
        <f t="shared" si="0"/>
        <v>105.03903837000881</v>
      </c>
      <c r="I11" s="64"/>
    </row>
    <row r="12" spans="1:9" ht="12.75">
      <c r="A12" s="65">
        <v>1</v>
      </c>
      <c r="B12" s="66" t="s">
        <v>80</v>
      </c>
      <c r="C12" s="92">
        <f>nhap!E12</f>
        <v>1200</v>
      </c>
      <c r="D12" s="92">
        <f>SUM(D13:D17)</f>
        <v>0</v>
      </c>
      <c r="E12" s="92">
        <f>SUM(E13:E17)</f>
        <v>0</v>
      </c>
      <c r="F12" s="92">
        <f>SUM(F13:F17)</f>
        <v>0</v>
      </c>
      <c r="G12" s="237">
        <f>SUM(G13:G17)</f>
        <v>0</v>
      </c>
      <c r="H12" s="238">
        <f>SUM(H13:H17)</f>
        <v>0</v>
      </c>
      <c r="I12" s="64"/>
    </row>
    <row r="13" spans="1:9" ht="12.75" hidden="1">
      <c r="A13" s="65"/>
      <c r="B13" s="66" t="s">
        <v>58</v>
      </c>
      <c r="C13" s="90"/>
      <c r="D13" s="90"/>
      <c r="E13" s="90"/>
      <c r="F13" s="90"/>
      <c r="G13" s="67"/>
      <c r="H13" s="68"/>
      <c r="I13" s="69"/>
    </row>
    <row r="14" spans="1:9" ht="12.75" hidden="1">
      <c r="A14" s="65"/>
      <c r="B14" s="66" t="s">
        <v>59</v>
      </c>
      <c r="C14" s="90"/>
      <c r="D14" s="90"/>
      <c r="E14" s="90"/>
      <c r="F14" s="90"/>
      <c r="G14" s="67"/>
      <c r="H14" s="68"/>
      <c r="I14" s="64"/>
    </row>
    <row r="15" spans="1:8" ht="12.75" hidden="1">
      <c r="A15" s="65"/>
      <c r="B15" s="66" t="s">
        <v>60</v>
      </c>
      <c r="C15" s="90"/>
      <c r="D15" s="90"/>
      <c r="E15" s="90"/>
      <c r="F15" s="90"/>
      <c r="G15" s="67"/>
      <c r="H15" s="68"/>
    </row>
    <row r="16" spans="1:8" ht="12.75" hidden="1">
      <c r="A16" s="65"/>
      <c r="B16" s="66" t="s">
        <v>61</v>
      </c>
      <c r="C16" s="90"/>
      <c r="D16" s="90"/>
      <c r="E16" s="90"/>
      <c r="F16" s="90"/>
      <c r="G16" s="67"/>
      <c r="H16" s="68"/>
    </row>
    <row r="17" spans="1:8" ht="12.75" hidden="1">
      <c r="A17" s="65"/>
      <c r="B17" s="66" t="s">
        <v>62</v>
      </c>
      <c r="C17" s="90"/>
      <c r="D17" s="90"/>
      <c r="E17" s="90"/>
      <c r="F17" s="90"/>
      <c r="G17" s="67"/>
      <c r="H17" s="68"/>
    </row>
    <row r="18" spans="1:8" ht="12.75">
      <c r="A18" s="65">
        <v>2</v>
      </c>
      <c r="B18" s="66" t="s">
        <v>63</v>
      </c>
      <c r="C18" s="92">
        <f>nhap!E18</f>
        <v>9800</v>
      </c>
      <c r="D18" s="92">
        <f>SUM(D19:D23)</f>
        <v>0</v>
      </c>
      <c r="E18" s="92">
        <f>'[2]sheet1'!J12</f>
        <v>14000</v>
      </c>
      <c r="F18" s="92">
        <f>SUM(F19:F23)</f>
        <v>0</v>
      </c>
      <c r="G18" s="238">
        <f>SUM(G19:G23)</f>
        <v>0</v>
      </c>
      <c r="H18" s="238">
        <f>SUM(H19:H23)</f>
        <v>0</v>
      </c>
    </row>
    <row r="19" spans="1:8" ht="12.75" hidden="1">
      <c r="A19" s="65"/>
      <c r="B19" s="66" t="s">
        <v>58</v>
      </c>
      <c r="C19" s="91"/>
      <c r="D19" s="91"/>
      <c r="E19" s="91"/>
      <c r="F19" s="91"/>
      <c r="G19" s="70"/>
      <c r="H19" s="71"/>
    </row>
    <row r="20" spans="1:8" ht="12.75" hidden="1">
      <c r="A20" s="65"/>
      <c r="B20" s="66" t="s">
        <v>59</v>
      </c>
      <c r="C20" s="91"/>
      <c r="D20" s="91"/>
      <c r="E20" s="91"/>
      <c r="F20" s="91"/>
      <c r="G20" s="70"/>
      <c r="H20" s="71"/>
    </row>
    <row r="21" spans="1:8" ht="12.75" hidden="1">
      <c r="A21" s="65"/>
      <c r="B21" s="66" t="s">
        <v>60</v>
      </c>
      <c r="C21" s="91"/>
      <c r="D21" s="91"/>
      <c r="E21" s="91"/>
      <c r="F21" s="91"/>
      <c r="G21" s="70"/>
      <c r="H21" s="71"/>
    </row>
    <row r="22" spans="1:8" ht="12.75" hidden="1">
      <c r="A22" s="65"/>
      <c r="B22" s="66" t="s">
        <v>61</v>
      </c>
      <c r="C22" s="91"/>
      <c r="D22" s="91"/>
      <c r="E22" s="91"/>
      <c r="F22" s="91"/>
      <c r="G22" s="70"/>
      <c r="H22" s="71"/>
    </row>
    <row r="23" spans="1:8" ht="12.75" hidden="1">
      <c r="A23" s="65"/>
      <c r="B23" s="66" t="s">
        <v>62</v>
      </c>
      <c r="C23" s="91"/>
      <c r="D23" s="91"/>
      <c r="E23" s="91"/>
      <c r="F23" s="91"/>
      <c r="G23" s="70"/>
      <c r="H23" s="71"/>
    </row>
    <row r="24" spans="1:8" ht="12.75">
      <c r="A24" s="65">
        <v>3</v>
      </c>
      <c r="B24" s="66" t="s">
        <v>64</v>
      </c>
      <c r="C24" s="92">
        <f>nhap!E24</f>
        <v>2600</v>
      </c>
      <c r="D24" s="91"/>
      <c r="E24" s="92">
        <f>'[2]sheet1'!J13</f>
        <v>3000</v>
      </c>
      <c r="F24" s="92">
        <f>SUM(F25:F29)</f>
        <v>0</v>
      </c>
      <c r="G24" s="70"/>
      <c r="H24" s="71"/>
    </row>
    <row r="25" spans="1:8" ht="12.75" hidden="1">
      <c r="A25" s="65"/>
      <c r="B25" s="66" t="s">
        <v>58</v>
      </c>
      <c r="C25" s="91"/>
      <c r="D25" s="91"/>
      <c r="E25" s="91"/>
      <c r="F25" s="91"/>
      <c r="G25" s="70"/>
      <c r="H25" s="71"/>
    </row>
    <row r="26" spans="1:8" ht="12.75" hidden="1">
      <c r="A26" s="65"/>
      <c r="B26" s="66" t="s">
        <v>59</v>
      </c>
      <c r="C26" s="91"/>
      <c r="D26" s="91"/>
      <c r="E26" s="91"/>
      <c r="F26" s="91"/>
      <c r="G26" s="70"/>
      <c r="H26" s="71"/>
    </row>
    <row r="27" spans="1:8" ht="12.75" hidden="1">
      <c r="A27" s="65"/>
      <c r="B27" s="66" t="s">
        <v>60</v>
      </c>
      <c r="C27" s="91"/>
      <c r="D27" s="91"/>
      <c r="E27" s="91"/>
      <c r="F27" s="91"/>
      <c r="G27" s="70"/>
      <c r="H27" s="71"/>
    </row>
    <row r="28" spans="1:8" ht="12.75" hidden="1">
      <c r="A28" s="65"/>
      <c r="B28" s="66" t="s">
        <v>61</v>
      </c>
      <c r="C28" s="91"/>
      <c r="D28" s="91"/>
      <c r="E28" s="91"/>
      <c r="F28" s="91"/>
      <c r="G28" s="70"/>
      <c r="H28" s="71"/>
    </row>
    <row r="29" spans="1:8" ht="12.75" hidden="1">
      <c r="A29" s="65"/>
      <c r="B29" s="66" t="s">
        <v>65</v>
      </c>
      <c r="C29" s="91"/>
      <c r="D29" s="91"/>
      <c r="E29" s="91"/>
      <c r="F29" s="91"/>
      <c r="G29" s="70"/>
      <c r="H29" s="71"/>
    </row>
    <row r="30" spans="1:9" ht="12.75">
      <c r="A30" s="65">
        <v>4</v>
      </c>
      <c r="B30" s="66" t="s">
        <v>41</v>
      </c>
      <c r="C30" s="92">
        <f>SUM(C31:C36)</f>
        <v>657400</v>
      </c>
      <c r="D30" s="92">
        <f>SUM(D31:D36)</f>
        <v>118667</v>
      </c>
      <c r="E30" s="92">
        <f>SUM(E31:E36)</f>
        <v>748000</v>
      </c>
      <c r="F30" s="92">
        <f>SUM(F31:F36)</f>
        <v>135280</v>
      </c>
      <c r="G30" s="72">
        <f>E30/C30*100</f>
        <v>113.78156373592942</v>
      </c>
      <c r="H30" s="73">
        <f aca="true" t="shared" si="1" ref="G30:H32">F30/D30*100</f>
        <v>113.9996797761804</v>
      </c>
      <c r="I30" s="49"/>
    </row>
    <row r="31" spans="1:9" ht="12.75">
      <c r="A31" s="65"/>
      <c r="B31" s="66" t="s">
        <v>58</v>
      </c>
      <c r="C31" s="90">
        <f>nhap!E31</f>
        <v>475650</v>
      </c>
      <c r="D31" s="90">
        <f>nhap!F31</f>
        <v>85617</v>
      </c>
      <c r="E31" s="90">
        <f>'[2]sheet1'!J15</f>
        <v>550000</v>
      </c>
      <c r="F31" s="90">
        <f>ROUND(E31*0.18,0)</f>
        <v>99000</v>
      </c>
      <c r="G31" s="74">
        <f t="shared" si="1"/>
        <v>115.63124145905603</v>
      </c>
      <c r="H31" s="75">
        <f t="shared" si="1"/>
        <v>115.63124145905603</v>
      </c>
      <c r="I31" s="64"/>
    </row>
    <row r="32" spans="1:8" ht="12.75">
      <c r="A32" s="65"/>
      <c r="B32" s="66" t="s">
        <v>59</v>
      </c>
      <c r="C32" s="90">
        <f>nhap!E32</f>
        <v>180000</v>
      </c>
      <c r="D32" s="90">
        <f>nhap!F32</f>
        <v>32400</v>
      </c>
      <c r="E32" s="90">
        <f>'[2]sheet1'!J16</f>
        <v>196000</v>
      </c>
      <c r="F32" s="90">
        <f>ROUND(E32*0.18,0)</f>
        <v>35280</v>
      </c>
      <c r="G32" s="74">
        <f t="shared" si="1"/>
        <v>108.88888888888889</v>
      </c>
      <c r="H32" s="75">
        <f t="shared" si="1"/>
        <v>108.88888888888889</v>
      </c>
    </row>
    <row r="33" spans="1:8" ht="12.75">
      <c r="A33" s="65"/>
      <c r="B33" s="66" t="s">
        <v>60</v>
      </c>
      <c r="C33" s="90">
        <f>nhap!E33</f>
        <v>1100</v>
      </c>
      <c r="D33" s="90">
        <f>nhap!F33</f>
        <v>0</v>
      </c>
      <c r="E33" s="90">
        <f>'[2]sheet1'!J17</f>
        <v>1000</v>
      </c>
      <c r="F33" s="91"/>
      <c r="G33" s="74">
        <f>E33/C33*100</f>
        <v>90.9090909090909</v>
      </c>
      <c r="H33" s="75"/>
    </row>
    <row r="34" spans="1:8" ht="12.75" hidden="1">
      <c r="A34" s="65"/>
      <c r="B34" s="66" t="s">
        <v>61</v>
      </c>
      <c r="C34" s="90">
        <f>nhap!E34</f>
        <v>0</v>
      </c>
      <c r="D34" s="90">
        <f>nhap!F34</f>
        <v>0</v>
      </c>
      <c r="E34" s="90"/>
      <c r="F34" s="91"/>
      <c r="G34" s="74"/>
      <c r="H34" s="75"/>
    </row>
    <row r="35" spans="1:8" ht="12.75">
      <c r="A35" s="65"/>
      <c r="B35" s="66" t="s">
        <v>66</v>
      </c>
      <c r="C35" s="90">
        <f>nhap!E35</f>
        <v>650</v>
      </c>
      <c r="D35" s="90">
        <f>nhap!F35</f>
        <v>650</v>
      </c>
      <c r="E35" s="90">
        <f>'[2]sheet1'!J20</f>
        <v>1000</v>
      </c>
      <c r="F35" s="90">
        <f>E35</f>
        <v>1000</v>
      </c>
      <c r="G35" s="74">
        <f>E35/C35*100</f>
        <v>153.84615384615387</v>
      </c>
      <c r="H35" s="75">
        <f>F35/D35*100</f>
        <v>153.84615384615387</v>
      </c>
    </row>
    <row r="36" spans="1:8" ht="12.75" hidden="1">
      <c r="A36" s="65"/>
      <c r="B36" s="66" t="s">
        <v>62</v>
      </c>
      <c r="C36" s="91"/>
      <c r="D36" s="91">
        <f>C36</f>
        <v>0</v>
      </c>
      <c r="E36" s="91"/>
      <c r="F36" s="91"/>
      <c r="G36" s="74"/>
      <c r="H36" s="75"/>
    </row>
    <row r="37" spans="1:8" ht="12.75">
      <c r="A37" s="65">
        <v>5</v>
      </c>
      <c r="B37" s="66" t="s">
        <v>32</v>
      </c>
      <c r="C37" s="95">
        <f>nhap!E37</f>
        <v>215300</v>
      </c>
      <c r="D37" s="95">
        <f>nhap!F37</f>
        <v>0</v>
      </c>
      <c r="E37" s="95">
        <f>'[2]sheet1'!J24</f>
        <v>255000</v>
      </c>
      <c r="F37" s="92"/>
      <c r="G37" s="72">
        <f>E37/C37*100</f>
        <v>118.43938690199722</v>
      </c>
      <c r="H37" s="71"/>
    </row>
    <row r="38" spans="1:8" ht="12.75">
      <c r="A38" s="65">
        <v>6</v>
      </c>
      <c r="B38" s="66" t="s">
        <v>33</v>
      </c>
      <c r="C38" s="95">
        <f>nhap!E38</f>
        <v>700</v>
      </c>
      <c r="D38" s="95">
        <f>nhap!F38</f>
        <v>0</v>
      </c>
      <c r="E38" s="95">
        <f>'[2]sheet1'!J28</f>
        <v>0</v>
      </c>
      <c r="F38" s="92"/>
      <c r="G38" s="72">
        <f>E38/C38*100</f>
        <v>0</v>
      </c>
      <c r="H38" s="73"/>
    </row>
    <row r="39" spans="1:8" ht="12.75">
      <c r="A39" s="65">
        <v>7</v>
      </c>
      <c r="B39" s="66" t="s">
        <v>34</v>
      </c>
      <c r="C39" s="95">
        <f>nhap!E39</f>
        <v>228000</v>
      </c>
      <c r="D39" s="95">
        <f>nhap!F39</f>
        <v>26940</v>
      </c>
      <c r="E39" s="95">
        <f>'[2]sheet1'!J22</f>
        <v>241000</v>
      </c>
      <c r="F39" s="92">
        <f>'[2]sheet1'!K22</f>
        <v>28920</v>
      </c>
      <c r="G39" s="72">
        <f>E39/C39*100</f>
        <v>105.70175438596492</v>
      </c>
      <c r="H39" s="73">
        <f>F39/D39*100</f>
        <v>107.34966592427617</v>
      </c>
    </row>
    <row r="40" spans="1:8" ht="12.75">
      <c r="A40" s="65">
        <v>8</v>
      </c>
      <c r="B40" s="66" t="s">
        <v>88</v>
      </c>
      <c r="C40" s="95">
        <f>SUM(C41:C44)</f>
        <v>69000</v>
      </c>
      <c r="D40" s="95">
        <f>SUM(D41:D44)</f>
        <v>23597</v>
      </c>
      <c r="E40" s="95">
        <f>'[2]sheet1'!J30+'[2]sheet1'!J31</f>
        <v>90000</v>
      </c>
      <c r="F40" s="95">
        <f>SUM(F41:F44)</f>
        <v>25946</v>
      </c>
      <c r="G40" s="72">
        <f>E40/C40*100</f>
        <v>130.43478260869566</v>
      </c>
      <c r="H40" s="73">
        <f>F40/D40*100</f>
        <v>109.95465525278638</v>
      </c>
    </row>
    <row r="41" spans="1:8" ht="12.75">
      <c r="A41" s="65"/>
      <c r="B41" s="66" t="s">
        <v>84</v>
      </c>
      <c r="C41" s="90">
        <f>nhap!E41</f>
        <v>45403</v>
      </c>
      <c r="D41" s="90">
        <f>nhap!F41</f>
        <v>0</v>
      </c>
      <c r="E41" s="90">
        <f>E40-E42-E43-E44</f>
        <v>64054</v>
      </c>
      <c r="F41" s="90"/>
      <c r="G41" s="74">
        <f>E41/C41*100</f>
        <v>141.0787833403079</v>
      </c>
      <c r="H41" s="75"/>
    </row>
    <row r="42" spans="1:8" ht="12.75">
      <c r="A42" s="65"/>
      <c r="B42" s="66" t="s">
        <v>85</v>
      </c>
      <c r="C42" s="90">
        <f>nhap!E42</f>
        <v>0</v>
      </c>
      <c r="D42" s="90">
        <f>nhap!F42</f>
        <v>0</v>
      </c>
      <c r="E42" s="90"/>
      <c r="F42" s="90"/>
      <c r="G42" s="74"/>
      <c r="H42" s="75"/>
    </row>
    <row r="43" spans="1:8" ht="12.75">
      <c r="A43" s="65"/>
      <c r="B43" s="66" t="s">
        <v>86</v>
      </c>
      <c r="C43" s="90">
        <f>nhap!E43</f>
        <v>15070</v>
      </c>
      <c r="D43" s="90">
        <f>nhap!F43</f>
        <v>15070</v>
      </c>
      <c r="E43" s="90">
        <f>'[2]sheet1'!L30+'[2]sheet1'!L31</f>
        <v>17693</v>
      </c>
      <c r="F43" s="90">
        <f>E43</f>
        <v>17693</v>
      </c>
      <c r="G43" s="74">
        <f>E43/C43*100</f>
        <v>117.40544127405441</v>
      </c>
      <c r="H43" s="75">
        <f>F43/D43*100</f>
        <v>117.40544127405441</v>
      </c>
    </row>
    <row r="44" spans="1:8" ht="12.75">
      <c r="A44" s="65"/>
      <c r="B44" s="66" t="s">
        <v>87</v>
      </c>
      <c r="C44" s="90">
        <f>nhap!E44</f>
        <v>8527</v>
      </c>
      <c r="D44" s="90">
        <f>nhap!F44</f>
        <v>8527</v>
      </c>
      <c r="E44" s="98">
        <f>'[2]sheet1'!M30+'[2]sheet1'!M31</f>
        <v>8253</v>
      </c>
      <c r="F44" s="90">
        <f>E44</f>
        <v>8253</v>
      </c>
      <c r="G44" s="74">
        <f>E44/C44*100</f>
        <v>96.78667761229038</v>
      </c>
      <c r="H44" s="75">
        <f>F44/D44*100</f>
        <v>96.78667761229038</v>
      </c>
    </row>
    <row r="45" spans="1:8" ht="12.75">
      <c r="A45" s="65">
        <v>9</v>
      </c>
      <c r="B45" s="66" t="s">
        <v>67</v>
      </c>
      <c r="C45" s="95">
        <f>nhap!E45</f>
        <v>0</v>
      </c>
      <c r="D45" s="95">
        <f>nhap!F45</f>
        <v>0</v>
      </c>
      <c r="E45" s="95"/>
      <c r="F45" s="95"/>
      <c r="G45" s="72"/>
      <c r="H45" s="73"/>
    </row>
    <row r="46" spans="1:8" ht="12.75">
      <c r="A46" s="65">
        <v>10</v>
      </c>
      <c r="B46" s="66" t="s">
        <v>68</v>
      </c>
      <c r="C46" s="95">
        <f>nhap!E46</f>
        <v>11000</v>
      </c>
      <c r="D46" s="95">
        <f>nhap!F46</f>
        <v>11000</v>
      </c>
      <c r="E46" s="95">
        <f>'[2]sheet1'!J25</f>
        <v>8000</v>
      </c>
      <c r="F46" s="95">
        <f>E46</f>
        <v>8000</v>
      </c>
      <c r="G46" s="72">
        <f>E46/C46*100</f>
        <v>72.72727272727273</v>
      </c>
      <c r="H46" s="73">
        <f>F46/D46*100</f>
        <v>72.72727272727273</v>
      </c>
    </row>
    <row r="47" spans="1:8" ht="12.75">
      <c r="A47" s="65">
        <v>11</v>
      </c>
      <c r="B47" s="66" t="s">
        <v>69</v>
      </c>
      <c r="C47" s="95">
        <f>nhap!E47</f>
        <v>163000</v>
      </c>
      <c r="D47" s="95">
        <f>nhap!F47</f>
        <v>0</v>
      </c>
      <c r="E47" s="95">
        <f>'[2]sheet1'!J26</f>
        <v>60000</v>
      </c>
      <c r="F47" s="95"/>
      <c r="G47" s="72">
        <f>E47/C47*100</f>
        <v>36.809815950920246</v>
      </c>
      <c r="H47" s="73"/>
    </row>
    <row r="48" spans="1:8" ht="12.75">
      <c r="A48" s="65">
        <v>12</v>
      </c>
      <c r="B48" s="66" t="s">
        <v>70</v>
      </c>
      <c r="C48" s="95">
        <f>nhap!E48</f>
        <v>119000</v>
      </c>
      <c r="D48" s="95">
        <f>nhap!F48</f>
        <v>0</v>
      </c>
      <c r="E48" s="95">
        <f>'[2]sheet1'!J27</f>
        <v>100000</v>
      </c>
      <c r="F48" s="92"/>
      <c r="G48" s="72">
        <f>E48/C48*100</f>
        <v>84.03361344537815</v>
      </c>
      <c r="H48" s="73"/>
    </row>
    <row r="49" spans="1:8" ht="12.75">
      <c r="A49" s="65">
        <v>13</v>
      </c>
      <c r="B49" s="66" t="s">
        <v>71</v>
      </c>
      <c r="C49" s="95">
        <f>nhap!E49</f>
        <v>0</v>
      </c>
      <c r="D49" s="95">
        <f>nhap!F49</f>
        <v>0</v>
      </c>
      <c r="E49" s="95"/>
      <c r="F49" s="95"/>
      <c r="G49" s="72"/>
      <c r="H49" s="73"/>
    </row>
    <row r="50" spans="1:8" ht="12.75">
      <c r="A50" s="65">
        <v>14</v>
      </c>
      <c r="B50" s="66" t="s">
        <v>72</v>
      </c>
      <c r="C50" s="95">
        <f>nhap!E50</f>
        <v>0</v>
      </c>
      <c r="D50" s="95">
        <f>nhap!F50</f>
        <v>0</v>
      </c>
      <c r="E50" s="96"/>
      <c r="F50" s="96"/>
      <c r="G50" s="72"/>
      <c r="H50" s="73"/>
    </row>
    <row r="51" spans="1:8" ht="12.75">
      <c r="A51" s="65">
        <v>15</v>
      </c>
      <c r="B51" s="66" t="s">
        <v>73</v>
      </c>
      <c r="C51" s="95">
        <f>nhap!E51</f>
        <v>0</v>
      </c>
      <c r="D51" s="95">
        <f>nhap!F51</f>
        <v>0</v>
      </c>
      <c r="E51" s="96"/>
      <c r="F51" s="96"/>
      <c r="G51" s="72"/>
      <c r="H51" s="73"/>
    </row>
    <row r="52" spans="1:8" ht="12.75">
      <c r="A52" s="65">
        <v>16</v>
      </c>
      <c r="B52" s="66" t="s">
        <v>74</v>
      </c>
      <c r="C52" s="95">
        <f>nhap!E52</f>
        <v>50000</v>
      </c>
      <c r="D52" s="95">
        <f>nhap!F52</f>
        <v>17294</v>
      </c>
      <c r="E52" s="95">
        <f>'[2]sheet1'!J32</f>
        <v>58000</v>
      </c>
      <c r="F52" s="92">
        <f>'[2]sheet1'!K32</f>
        <v>9304</v>
      </c>
      <c r="G52" s="72">
        <f>E52/C52*100</f>
        <v>115.99999999999999</v>
      </c>
      <c r="H52" s="73">
        <f>F52/D52*100</f>
        <v>53.79900543541113</v>
      </c>
    </row>
    <row r="53" spans="1:8" ht="12.75">
      <c r="A53" s="65">
        <v>17</v>
      </c>
      <c r="B53" s="66" t="s">
        <v>75</v>
      </c>
      <c r="C53" s="95"/>
      <c r="D53" s="97"/>
      <c r="E53" s="92"/>
      <c r="F53" s="92"/>
      <c r="G53" s="72"/>
      <c r="H53" s="73"/>
    </row>
    <row r="54" spans="1:8" ht="12.75" hidden="1">
      <c r="A54" s="65">
        <v>18</v>
      </c>
      <c r="B54" s="66" t="s">
        <v>89</v>
      </c>
      <c r="C54" s="95"/>
      <c r="D54" s="97"/>
      <c r="E54" s="92"/>
      <c r="F54" s="92"/>
      <c r="G54" s="72"/>
      <c r="H54" s="73"/>
    </row>
    <row r="55" spans="1:8" ht="12.75" hidden="1">
      <c r="A55" s="65">
        <v>19</v>
      </c>
      <c r="B55" s="66" t="s">
        <v>90</v>
      </c>
      <c r="C55" s="95"/>
      <c r="D55" s="97"/>
      <c r="E55" s="92"/>
      <c r="F55" s="92"/>
      <c r="G55" s="72"/>
      <c r="H55" s="73"/>
    </row>
    <row r="56" spans="1:8" ht="12.75" hidden="1">
      <c r="A56" s="65">
        <v>20</v>
      </c>
      <c r="B56" s="66" t="s">
        <v>91</v>
      </c>
      <c r="C56" s="95"/>
      <c r="D56" s="97"/>
      <c r="E56" s="92"/>
      <c r="F56" s="92"/>
      <c r="G56" s="72"/>
      <c r="H56" s="73"/>
    </row>
    <row r="57" spans="1:8" ht="12.75" hidden="1">
      <c r="A57" s="65">
        <v>21</v>
      </c>
      <c r="B57" s="66" t="s">
        <v>92</v>
      </c>
      <c r="C57" s="95"/>
      <c r="D57" s="97"/>
      <c r="E57" s="92"/>
      <c r="F57" s="92"/>
      <c r="G57" s="72"/>
      <c r="H57" s="73"/>
    </row>
    <row r="58" spans="1:8" ht="12.75">
      <c r="A58" s="62" t="s">
        <v>3</v>
      </c>
      <c r="B58" s="63" t="s">
        <v>81</v>
      </c>
      <c r="C58" s="90"/>
      <c r="D58" s="90"/>
      <c r="E58" s="88"/>
      <c r="F58" s="88"/>
      <c r="G58" s="67"/>
      <c r="H58" s="76"/>
    </row>
    <row r="59" spans="1:8" ht="12.75">
      <c r="A59" s="62" t="s">
        <v>4</v>
      </c>
      <c r="B59" s="63" t="s">
        <v>82</v>
      </c>
      <c r="C59" s="90"/>
      <c r="D59" s="90"/>
      <c r="E59" s="90"/>
      <c r="F59" s="88"/>
      <c r="G59" s="67"/>
      <c r="H59" s="76"/>
    </row>
    <row r="60" spans="1:8" ht="12.75">
      <c r="A60" s="62" t="s">
        <v>21</v>
      </c>
      <c r="B60" s="63" t="s">
        <v>35</v>
      </c>
      <c r="C60" s="88">
        <f>nhap!E60</f>
        <v>0</v>
      </c>
      <c r="D60" s="88">
        <f>nhap!F60</f>
        <v>0</v>
      </c>
      <c r="E60" s="88">
        <f>'[2]sheet1'!J37</f>
        <v>0</v>
      </c>
      <c r="F60" s="88">
        <f>E60</f>
        <v>0</v>
      </c>
      <c r="G60" s="67"/>
      <c r="H60" s="76"/>
    </row>
    <row r="61" spans="1:8" ht="12.75" hidden="1">
      <c r="A61" s="62" t="s">
        <v>6</v>
      </c>
      <c r="B61" s="63" t="s">
        <v>76</v>
      </c>
      <c r="C61" s="91"/>
      <c r="D61" s="91"/>
      <c r="E61" s="93"/>
      <c r="F61" s="93"/>
      <c r="G61" s="70"/>
      <c r="H61" s="71"/>
    </row>
    <row r="62" spans="1:8" ht="12.75" hidden="1">
      <c r="A62" s="77" t="s">
        <v>77</v>
      </c>
      <c r="B62" s="78" t="s">
        <v>78</v>
      </c>
      <c r="C62" s="94"/>
      <c r="D62" s="79"/>
      <c r="E62" s="94"/>
      <c r="F62" s="94"/>
      <c r="G62" s="80"/>
      <c r="H62" s="81"/>
    </row>
    <row r="63" spans="1:8" ht="12.75">
      <c r="A63" s="82"/>
      <c r="B63" s="83"/>
      <c r="C63" s="84"/>
      <c r="D63" s="84"/>
      <c r="E63" s="84"/>
      <c r="F63" s="84"/>
      <c r="G63" s="85"/>
      <c r="H63" s="239"/>
    </row>
    <row r="64" spans="1:8" ht="12.75">
      <c r="A64" s="448"/>
      <c r="B64" s="448"/>
      <c r="C64" s="448"/>
      <c r="H64" s="52"/>
    </row>
  </sheetData>
  <sheetProtection/>
  <mergeCells count="8">
    <mergeCell ref="A64:C64"/>
    <mergeCell ref="A3:H3"/>
    <mergeCell ref="A4:H4"/>
    <mergeCell ref="A6:A7"/>
    <mergeCell ref="B6:B7"/>
    <mergeCell ref="C6:D6"/>
    <mergeCell ref="E6:F6"/>
    <mergeCell ref="G6:H6"/>
  </mergeCells>
  <printOptions horizontalCentered="1"/>
  <pageMargins left="0.7" right="0.5" top="0.4" bottom="0.3" header="0.31496062992126"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V25"/>
  <sheetViews>
    <sheetView showZeros="0" zoomScale="120" zoomScaleNormal="120" zoomScalePageLayoutView="0" workbookViewId="0" topLeftCell="C1">
      <selection activeCell="A1" sqref="A1"/>
    </sheetView>
  </sheetViews>
  <sheetFormatPr defaultColWidth="9.140625" defaultRowHeight="15"/>
  <cols>
    <col min="1" max="1" width="6.28125" style="243" customWidth="1"/>
    <col min="2" max="2" width="17.421875" style="243" customWidth="1"/>
    <col min="3" max="4" width="9.8515625" style="243" customWidth="1"/>
    <col min="5" max="5" width="9.140625" style="243" customWidth="1"/>
    <col min="6" max="10" width="0" style="243" hidden="1" customWidth="1"/>
    <col min="11" max="11" width="9.57421875" style="243" customWidth="1"/>
    <col min="12" max="12" width="9.7109375" style="243" customWidth="1"/>
    <col min="13" max="13" width="0" style="243" hidden="1" customWidth="1"/>
    <col min="14" max="16" width="9.140625" style="243" customWidth="1"/>
    <col min="17" max="17" width="7.57421875" style="243" customWidth="1"/>
    <col min="18" max="20" width="8.00390625" style="243" customWidth="1"/>
    <col min="21" max="21" width="7.57421875" style="243" customWidth="1"/>
    <col min="22" max="16384" width="9.140625" style="243" customWidth="1"/>
  </cols>
  <sheetData>
    <row r="1" ht="15">
      <c r="U1" s="152" t="s">
        <v>371</v>
      </c>
    </row>
    <row r="2" spans="1:21" ht="15">
      <c r="A2" s="470" t="s">
        <v>480</v>
      </c>
      <c r="B2" s="470"/>
      <c r="C2" s="470"/>
      <c r="D2" s="470"/>
      <c r="E2" s="470"/>
      <c r="F2" s="470"/>
      <c r="G2" s="470"/>
      <c r="H2" s="470"/>
      <c r="I2" s="470"/>
      <c r="J2" s="470"/>
      <c r="K2" s="470"/>
      <c r="L2" s="470"/>
      <c r="M2" s="470"/>
      <c r="N2" s="470"/>
      <c r="O2" s="470"/>
      <c r="P2" s="470"/>
      <c r="Q2" s="470"/>
      <c r="R2" s="470"/>
      <c r="S2" s="470"/>
      <c r="T2" s="470"/>
      <c r="U2" s="470"/>
    </row>
    <row r="3" ht="15">
      <c r="U3" s="151" t="s">
        <v>10</v>
      </c>
    </row>
    <row r="4" spans="1:21" s="329" customFormat="1" ht="15">
      <c r="A4" s="460" t="s">
        <v>0</v>
      </c>
      <c r="B4" s="460" t="s">
        <v>173</v>
      </c>
      <c r="C4" s="460" t="s">
        <v>377</v>
      </c>
      <c r="D4" s="460" t="s">
        <v>376</v>
      </c>
      <c r="E4" s="460"/>
      <c r="F4" s="460"/>
      <c r="G4" s="460"/>
      <c r="H4" s="460"/>
      <c r="I4" s="460"/>
      <c r="J4" s="460"/>
      <c r="K4" s="460"/>
      <c r="L4" s="460"/>
      <c r="M4" s="460"/>
      <c r="N4" s="460"/>
      <c r="O4" s="460"/>
      <c r="P4" s="460"/>
      <c r="Q4" s="460" t="s">
        <v>316</v>
      </c>
      <c r="R4" s="460"/>
      <c r="S4" s="460"/>
      <c r="T4" s="460"/>
      <c r="U4" s="460" t="s">
        <v>30</v>
      </c>
    </row>
    <row r="5" spans="1:21" s="329" customFormat="1" ht="15">
      <c r="A5" s="460"/>
      <c r="B5" s="460"/>
      <c r="C5" s="460"/>
      <c r="D5" s="460" t="s">
        <v>130</v>
      </c>
      <c r="E5" s="461" t="s">
        <v>93</v>
      </c>
      <c r="F5" s="462"/>
      <c r="G5" s="462"/>
      <c r="H5" s="462"/>
      <c r="I5" s="462"/>
      <c r="J5" s="463"/>
      <c r="K5" s="460" t="s">
        <v>7</v>
      </c>
      <c r="L5" s="460"/>
      <c r="M5" s="460"/>
      <c r="N5" s="460" t="s">
        <v>48</v>
      </c>
      <c r="O5" s="460" t="s">
        <v>8</v>
      </c>
      <c r="P5" s="460" t="s">
        <v>372</v>
      </c>
      <c r="Q5" s="460" t="s">
        <v>130</v>
      </c>
      <c r="R5" s="460" t="s">
        <v>374</v>
      </c>
      <c r="S5" s="460" t="s">
        <v>375</v>
      </c>
      <c r="T5" s="460" t="s">
        <v>373</v>
      </c>
      <c r="U5" s="460"/>
    </row>
    <row r="6" spans="1:21" s="329" customFormat="1" ht="15">
      <c r="A6" s="460"/>
      <c r="B6" s="460"/>
      <c r="C6" s="460"/>
      <c r="D6" s="460"/>
      <c r="E6" s="464"/>
      <c r="F6" s="465"/>
      <c r="G6" s="465"/>
      <c r="H6" s="465"/>
      <c r="I6" s="465"/>
      <c r="J6" s="466"/>
      <c r="K6" s="460" t="s">
        <v>130</v>
      </c>
      <c r="L6" s="460" t="s">
        <v>208</v>
      </c>
      <c r="M6" s="460"/>
      <c r="N6" s="460"/>
      <c r="O6" s="460"/>
      <c r="P6" s="460"/>
      <c r="Q6" s="460"/>
      <c r="R6" s="460"/>
      <c r="S6" s="460"/>
      <c r="T6" s="460"/>
      <c r="U6" s="460"/>
    </row>
    <row r="7" spans="1:21" s="329" customFormat="1" ht="153.75" customHeight="1">
      <c r="A7" s="460"/>
      <c r="B7" s="460"/>
      <c r="C7" s="460"/>
      <c r="D7" s="460"/>
      <c r="E7" s="467"/>
      <c r="F7" s="468"/>
      <c r="G7" s="468"/>
      <c r="H7" s="468"/>
      <c r="I7" s="468"/>
      <c r="J7" s="469"/>
      <c r="K7" s="460"/>
      <c r="L7" s="305" t="s">
        <v>320</v>
      </c>
      <c r="M7" s="305" t="s">
        <v>101</v>
      </c>
      <c r="N7" s="460"/>
      <c r="O7" s="460"/>
      <c r="P7" s="460"/>
      <c r="Q7" s="460"/>
      <c r="R7" s="460"/>
      <c r="S7" s="460"/>
      <c r="T7" s="460"/>
      <c r="U7" s="460"/>
    </row>
    <row r="8" spans="1:21" s="329" customFormat="1" ht="30">
      <c r="A8" s="305" t="s">
        <v>1</v>
      </c>
      <c r="B8" s="305" t="s">
        <v>6</v>
      </c>
      <c r="C8" s="305" t="s">
        <v>379</v>
      </c>
      <c r="D8" s="305" t="s">
        <v>378</v>
      </c>
      <c r="E8" s="305">
        <v>3</v>
      </c>
      <c r="F8" s="305">
        <v>4</v>
      </c>
      <c r="G8" s="305">
        <v>5</v>
      </c>
      <c r="H8" s="305">
        <v>6</v>
      </c>
      <c r="I8" s="305">
        <v>7</v>
      </c>
      <c r="J8" s="305">
        <v>8</v>
      </c>
      <c r="K8" s="305">
        <v>4</v>
      </c>
      <c r="L8" s="305">
        <v>5</v>
      </c>
      <c r="M8" s="305">
        <v>11</v>
      </c>
      <c r="N8" s="305">
        <v>6</v>
      </c>
      <c r="O8" s="305">
        <v>7</v>
      </c>
      <c r="P8" s="305">
        <v>8</v>
      </c>
      <c r="Q8" s="305">
        <v>9</v>
      </c>
      <c r="R8" s="305">
        <v>10</v>
      </c>
      <c r="S8" s="305">
        <v>11</v>
      </c>
      <c r="T8" s="305">
        <v>12</v>
      </c>
      <c r="U8" s="305">
        <v>13</v>
      </c>
    </row>
    <row r="9" spans="1:21" s="329" customFormat="1" ht="15">
      <c r="A9" s="310"/>
      <c r="B9" s="330" t="s">
        <v>149</v>
      </c>
      <c r="C9" s="336">
        <f>SUM(C10:C25)</f>
        <v>205699.12600000005</v>
      </c>
      <c r="D9" s="336">
        <f aca="true" t="shared" si="0" ref="D9:U9">SUM(D10:D25)</f>
        <v>203593.12600000002</v>
      </c>
      <c r="E9" s="336">
        <f t="shared" si="0"/>
        <v>0</v>
      </c>
      <c r="F9" s="336">
        <f t="shared" si="0"/>
        <v>0</v>
      </c>
      <c r="G9" s="336">
        <f t="shared" si="0"/>
        <v>0</v>
      </c>
      <c r="H9" s="336">
        <f t="shared" si="0"/>
        <v>0</v>
      </c>
      <c r="I9" s="336">
        <f t="shared" si="0"/>
        <v>0</v>
      </c>
      <c r="J9" s="336">
        <f t="shared" si="0"/>
        <v>0</v>
      </c>
      <c r="K9" s="336">
        <f t="shared" si="0"/>
        <v>200693.12599999996</v>
      </c>
      <c r="L9" s="336">
        <f t="shared" si="0"/>
        <v>333.17760000000004</v>
      </c>
      <c r="M9" s="336">
        <f t="shared" si="0"/>
        <v>0</v>
      </c>
      <c r="N9" s="336">
        <f t="shared" si="0"/>
        <v>0</v>
      </c>
      <c r="O9" s="336">
        <f t="shared" si="0"/>
        <v>2900</v>
      </c>
      <c r="P9" s="336">
        <f t="shared" si="0"/>
        <v>0</v>
      </c>
      <c r="Q9" s="336">
        <f t="shared" si="0"/>
        <v>2106</v>
      </c>
      <c r="R9" s="336">
        <f t="shared" si="0"/>
        <v>0</v>
      </c>
      <c r="S9" s="336">
        <f t="shared" si="0"/>
        <v>0</v>
      </c>
      <c r="T9" s="336">
        <f t="shared" si="0"/>
        <v>2106</v>
      </c>
      <c r="U9" s="336">
        <f t="shared" si="0"/>
        <v>0</v>
      </c>
    </row>
    <row r="10" spans="1:22" s="329" customFormat="1" ht="15.75">
      <c r="A10" s="270">
        <v>1</v>
      </c>
      <c r="B10" s="208" t="s">
        <v>150</v>
      </c>
      <c r="C10" s="337">
        <f>SUM(D10,Q10,U10)</f>
        <v>12109.193</v>
      </c>
      <c r="D10" s="337">
        <f>SUM(E10,K10,N10,O10,P10)</f>
        <v>11997.693</v>
      </c>
      <c r="E10" s="337"/>
      <c r="F10" s="337"/>
      <c r="G10" s="337"/>
      <c r="H10" s="337"/>
      <c r="I10" s="337"/>
      <c r="J10" s="337"/>
      <c r="K10" s="337">
        <v>11826.693</v>
      </c>
      <c r="L10" s="337">
        <v>21.112</v>
      </c>
      <c r="M10" s="337"/>
      <c r="N10" s="337"/>
      <c r="O10" s="337">
        <v>171</v>
      </c>
      <c r="P10" s="337"/>
      <c r="Q10" s="337">
        <f>SUM(R10:T10)</f>
        <v>111.5</v>
      </c>
      <c r="R10" s="337"/>
      <c r="S10" s="337"/>
      <c r="T10" s="337">
        <v>111.5</v>
      </c>
      <c r="U10" s="337"/>
      <c r="V10" s="385">
        <f>ROUND(K10,0)</f>
        <v>11827</v>
      </c>
    </row>
    <row r="11" spans="1:22" s="329" customFormat="1" ht="15.75">
      <c r="A11" s="270">
        <v>2</v>
      </c>
      <c r="B11" s="208" t="s">
        <v>151</v>
      </c>
      <c r="C11" s="337">
        <f aca="true" t="shared" si="1" ref="C11:C25">SUM(D11,Q11,U11)</f>
        <v>13267.259</v>
      </c>
      <c r="D11" s="337">
        <f aca="true" t="shared" si="2" ref="D11:D25">SUM(E11,K11,N11,O11,P11)</f>
        <v>13116.959</v>
      </c>
      <c r="E11" s="337"/>
      <c r="F11" s="337"/>
      <c r="G11" s="337"/>
      <c r="H11" s="337"/>
      <c r="I11" s="337"/>
      <c r="J11" s="337"/>
      <c r="K11" s="337">
        <v>12928.959</v>
      </c>
      <c r="L11" s="337">
        <v>21.112</v>
      </c>
      <c r="M11" s="337"/>
      <c r="N11" s="337"/>
      <c r="O11" s="337">
        <v>188</v>
      </c>
      <c r="P11" s="337"/>
      <c r="Q11" s="337">
        <f aca="true" t="shared" si="3" ref="Q11:Q25">SUM(R11:T11)</f>
        <v>150.3</v>
      </c>
      <c r="R11" s="337"/>
      <c r="S11" s="337"/>
      <c r="T11" s="337">
        <v>150.3</v>
      </c>
      <c r="U11" s="337"/>
      <c r="V11" s="385">
        <f aca="true" t="shared" si="4" ref="V11:V25">ROUND(K11,0)</f>
        <v>12929</v>
      </c>
    </row>
    <row r="12" spans="1:22" s="329" customFormat="1" ht="15.75">
      <c r="A12" s="270">
        <v>3</v>
      </c>
      <c r="B12" s="208" t="s">
        <v>152</v>
      </c>
      <c r="C12" s="337">
        <f t="shared" si="1"/>
        <v>13506.218</v>
      </c>
      <c r="D12" s="337">
        <f t="shared" si="2"/>
        <v>13384.218</v>
      </c>
      <c r="E12" s="337"/>
      <c r="F12" s="337"/>
      <c r="G12" s="337"/>
      <c r="H12" s="337"/>
      <c r="I12" s="337"/>
      <c r="J12" s="337"/>
      <c r="K12" s="337">
        <v>13191.218</v>
      </c>
      <c r="L12" s="337">
        <v>20.522</v>
      </c>
      <c r="M12" s="337"/>
      <c r="N12" s="337"/>
      <c r="O12" s="337">
        <v>193</v>
      </c>
      <c r="P12" s="337"/>
      <c r="Q12" s="337">
        <f t="shared" si="3"/>
        <v>122</v>
      </c>
      <c r="R12" s="337"/>
      <c r="S12" s="337"/>
      <c r="T12" s="337">
        <v>122</v>
      </c>
      <c r="U12" s="337"/>
      <c r="V12" s="385">
        <f t="shared" si="4"/>
        <v>13191</v>
      </c>
    </row>
    <row r="13" spans="1:22" s="329" customFormat="1" ht="15.75">
      <c r="A13" s="270">
        <v>4</v>
      </c>
      <c r="B13" s="208" t="s">
        <v>153</v>
      </c>
      <c r="C13" s="337">
        <f t="shared" si="1"/>
        <v>16233.003</v>
      </c>
      <c r="D13" s="337">
        <f t="shared" si="2"/>
        <v>16011.403</v>
      </c>
      <c r="E13" s="337"/>
      <c r="F13" s="337"/>
      <c r="G13" s="337"/>
      <c r="H13" s="337"/>
      <c r="I13" s="337"/>
      <c r="J13" s="337"/>
      <c r="K13" s="337">
        <v>15781.403</v>
      </c>
      <c r="L13" s="337">
        <v>20.272</v>
      </c>
      <c r="M13" s="337"/>
      <c r="N13" s="337"/>
      <c r="O13" s="337">
        <v>230</v>
      </c>
      <c r="P13" s="337"/>
      <c r="Q13" s="337">
        <f t="shared" si="3"/>
        <v>221.6</v>
      </c>
      <c r="R13" s="337"/>
      <c r="S13" s="337"/>
      <c r="T13" s="337">
        <v>221.6</v>
      </c>
      <c r="U13" s="337"/>
      <c r="V13" s="385">
        <f t="shared" si="4"/>
        <v>15781</v>
      </c>
    </row>
    <row r="14" spans="1:22" s="329" customFormat="1" ht="15.75">
      <c r="A14" s="270">
        <v>5</v>
      </c>
      <c r="B14" s="208" t="s">
        <v>154</v>
      </c>
      <c r="C14" s="337">
        <f t="shared" si="1"/>
        <v>15683.266</v>
      </c>
      <c r="D14" s="337">
        <f t="shared" si="2"/>
        <v>15499.266</v>
      </c>
      <c r="E14" s="337"/>
      <c r="F14" s="337"/>
      <c r="G14" s="337"/>
      <c r="H14" s="337"/>
      <c r="I14" s="337"/>
      <c r="J14" s="337"/>
      <c r="K14" s="337">
        <v>15279.266</v>
      </c>
      <c r="L14" s="337">
        <v>20.289</v>
      </c>
      <c r="M14" s="337"/>
      <c r="N14" s="337"/>
      <c r="O14" s="337">
        <v>220</v>
      </c>
      <c r="P14" s="337"/>
      <c r="Q14" s="337">
        <f t="shared" si="3"/>
        <v>184</v>
      </c>
      <c r="R14" s="337"/>
      <c r="S14" s="337"/>
      <c r="T14" s="337">
        <v>184</v>
      </c>
      <c r="U14" s="337"/>
      <c r="V14" s="385">
        <f t="shared" si="4"/>
        <v>15279</v>
      </c>
    </row>
    <row r="15" spans="1:22" s="329" customFormat="1" ht="15.75">
      <c r="A15" s="270">
        <v>6</v>
      </c>
      <c r="B15" s="208" t="s">
        <v>155</v>
      </c>
      <c r="C15" s="337">
        <f t="shared" si="1"/>
        <v>13013.732</v>
      </c>
      <c r="D15" s="337">
        <f t="shared" si="2"/>
        <v>12856.832</v>
      </c>
      <c r="E15" s="337"/>
      <c r="F15" s="337"/>
      <c r="G15" s="337"/>
      <c r="H15" s="337"/>
      <c r="I15" s="337"/>
      <c r="J15" s="337"/>
      <c r="K15" s="337">
        <v>12672.832</v>
      </c>
      <c r="L15" s="337">
        <v>22.417</v>
      </c>
      <c r="M15" s="337"/>
      <c r="N15" s="337"/>
      <c r="O15" s="337">
        <v>184</v>
      </c>
      <c r="P15" s="337"/>
      <c r="Q15" s="337">
        <f t="shared" si="3"/>
        <v>156.9</v>
      </c>
      <c r="R15" s="337"/>
      <c r="S15" s="337"/>
      <c r="T15" s="337">
        <v>156.9</v>
      </c>
      <c r="U15" s="337"/>
      <c r="V15" s="385">
        <f t="shared" si="4"/>
        <v>12673</v>
      </c>
    </row>
    <row r="16" spans="1:22" s="329" customFormat="1" ht="15.75">
      <c r="A16" s="270">
        <v>7</v>
      </c>
      <c r="B16" s="208" t="s">
        <v>156</v>
      </c>
      <c r="C16" s="337">
        <f t="shared" si="1"/>
        <v>13399.463</v>
      </c>
      <c r="D16" s="337">
        <f t="shared" si="2"/>
        <v>13273.863</v>
      </c>
      <c r="E16" s="337"/>
      <c r="F16" s="337"/>
      <c r="G16" s="337"/>
      <c r="H16" s="337"/>
      <c r="I16" s="337"/>
      <c r="J16" s="337"/>
      <c r="K16" s="337">
        <v>13090.863</v>
      </c>
      <c r="L16" s="337">
        <v>19.932</v>
      </c>
      <c r="M16" s="337"/>
      <c r="N16" s="337"/>
      <c r="O16" s="337">
        <v>183</v>
      </c>
      <c r="P16" s="337"/>
      <c r="Q16" s="337">
        <f t="shared" si="3"/>
        <v>125.6</v>
      </c>
      <c r="R16" s="337"/>
      <c r="S16" s="337"/>
      <c r="T16" s="337">
        <v>125.6</v>
      </c>
      <c r="U16" s="337"/>
      <c r="V16" s="385">
        <f t="shared" si="4"/>
        <v>13091</v>
      </c>
    </row>
    <row r="17" spans="1:22" s="329" customFormat="1" ht="15.75">
      <c r="A17" s="270">
        <v>8</v>
      </c>
      <c r="B17" s="208" t="s">
        <v>157</v>
      </c>
      <c r="C17" s="337">
        <f t="shared" si="1"/>
        <v>10801.017</v>
      </c>
      <c r="D17" s="337">
        <f t="shared" si="2"/>
        <v>10727.817</v>
      </c>
      <c r="E17" s="337"/>
      <c r="F17" s="337"/>
      <c r="G17" s="337"/>
      <c r="H17" s="337"/>
      <c r="I17" s="337"/>
      <c r="J17" s="337"/>
      <c r="K17" s="337">
        <v>10577.817</v>
      </c>
      <c r="L17" s="337">
        <v>19.932</v>
      </c>
      <c r="M17" s="337"/>
      <c r="N17" s="337"/>
      <c r="O17" s="337">
        <v>150</v>
      </c>
      <c r="P17" s="337"/>
      <c r="Q17" s="337">
        <f t="shared" si="3"/>
        <v>73.2</v>
      </c>
      <c r="R17" s="337"/>
      <c r="S17" s="337"/>
      <c r="T17" s="337">
        <v>73.2</v>
      </c>
      <c r="U17" s="337"/>
      <c r="V17" s="385">
        <f t="shared" si="4"/>
        <v>10578</v>
      </c>
    </row>
    <row r="18" spans="1:22" s="329" customFormat="1" ht="15.75">
      <c r="A18" s="270">
        <v>9</v>
      </c>
      <c r="B18" s="208" t="s">
        <v>158</v>
      </c>
      <c r="C18" s="337">
        <f t="shared" si="1"/>
        <v>12867.363</v>
      </c>
      <c r="D18" s="337">
        <f t="shared" si="2"/>
        <v>12739.463</v>
      </c>
      <c r="E18" s="337"/>
      <c r="F18" s="337"/>
      <c r="G18" s="337"/>
      <c r="H18" s="337"/>
      <c r="I18" s="337"/>
      <c r="J18" s="337"/>
      <c r="K18" s="337">
        <v>12558.463</v>
      </c>
      <c r="L18" s="337">
        <v>21.702</v>
      </c>
      <c r="M18" s="337"/>
      <c r="N18" s="337"/>
      <c r="O18" s="337">
        <v>181</v>
      </c>
      <c r="P18" s="337"/>
      <c r="Q18" s="337">
        <f t="shared" si="3"/>
        <v>127.9</v>
      </c>
      <c r="R18" s="337"/>
      <c r="S18" s="337"/>
      <c r="T18" s="337">
        <v>127.9</v>
      </c>
      <c r="U18" s="337"/>
      <c r="V18" s="385">
        <f t="shared" si="4"/>
        <v>12558</v>
      </c>
    </row>
    <row r="19" spans="1:22" s="329" customFormat="1" ht="15.75">
      <c r="A19" s="270">
        <v>10</v>
      </c>
      <c r="B19" s="208" t="s">
        <v>159</v>
      </c>
      <c r="C19" s="337">
        <f t="shared" si="1"/>
        <v>12123.618</v>
      </c>
      <c r="D19" s="337">
        <f t="shared" si="2"/>
        <v>11998.518</v>
      </c>
      <c r="E19" s="337"/>
      <c r="F19" s="337"/>
      <c r="G19" s="337"/>
      <c r="H19" s="337"/>
      <c r="I19" s="337"/>
      <c r="J19" s="337"/>
      <c r="K19" s="337">
        <v>11827.518</v>
      </c>
      <c r="L19" s="337">
        <v>20.522</v>
      </c>
      <c r="M19" s="337"/>
      <c r="N19" s="337"/>
      <c r="O19" s="337">
        <v>171</v>
      </c>
      <c r="P19" s="337"/>
      <c r="Q19" s="337">
        <f t="shared" si="3"/>
        <v>125.1</v>
      </c>
      <c r="R19" s="337"/>
      <c r="S19" s="337"/>
      <c r="T19" s="337">
        <v>125.1</v>
      </c>
      <c r="U19" s="337"/>
      <c r="V19" s="385">
        <f t="shared" si="4"/>
        <v>11828</v>
      </c>
    </row>
    <row r="20" spans="1:22" s="329" customFormat="1" ht="15.75">
      <c r="A20" s="270">
        <v>11</v>
      </c>
      <c r="B20" s="208" t="s">
        <v>160</v>
      </c>
      <c r="C20" s="337">
        <f t="shared" si="1"/>
        <v>9963.279</v>
      </c>
      <c r="D20" s="337">
        <f t="shared" si="2"/>
        <v>9896.279</v>
      </c>
      <c r="E20" s="337"/>
      <c r="F20" s="337"/>
      <c r="G20" s="337"/>
      <c r="H20" s="337"/>
      <c r="I20" s="337"/>
      <c r="J20" s="337"/>
      <c r="K20" s="337">
        <v>9756.279</v>
      </c>
      <c r="L20" s="337">
        <v>21.702</v>
      </c>
      <c r="M20" s="337"/>
      <c r="N20" s="337"/>
      <c r="O20" s="337">
        <v>140</v>
      </c>
      <c r="P20" s="337"/>
      <c r="Q20" s="337">
        <f t="shared" si="3"/>
        <v>67</v>
      </c>
      <c r="R20" s="337"/>
      <c r="S20" s="337"/>
      <c r="T20" s="337">
        <v>67</v>
      </c>
      <c r="U20" s="337"/>
      <c r="V20" s="385">
        <f t="shared" si="4"/>
        <v>9756</v>
      </c>
    </row>
    <row r="21" spans="1:22" s="329" customFormat="1" ht="15.75">
      <c r="A21" s="270">
        <v>12</v>
      </c>
      <c r="B21" s="208" t="s">
        <v>161</v>
      </c>
      <c r="C21" s="337">
        <f t="shared" si="1"/>
        <v>12431.556</v>
      </c>
      <c r="D21" s="337">
        <f t="shared" si="2"/>
        <v>12301.356</v>
      </c>
      <c r="E21" s="337"/>
      <c r="F21" s="337"/>
      <c r="G21" s="337"/>
      <c r="H21" s="337"/>
      <c r="I21" s="337"/>
      <c r="J21" s="337"/>
      <c r="K21" s="337">
        <v>12128.356</v>
      </c>
      <c r="L21" s="337">
        <v>20.5216</v>
      </c>
      <c r="M21" s="337"/>
      <c r="N21" s="337"/>
      <c r="O21" s="337">
        <v>173</v>
      </c>
      <c r="P21" s="337"/>
      <c r="Q21" s="337">
        <f t="shared" si="3"/>
        <v>130.2</v>
      </c>
      <c r="R21" s="337"/>
      <c r="S21" s="337"/>
      <c r="T21" s="337">
        <v>130.2</v>
      </c>
      <c r="U21" s="337"/>
      <c r="V21" s="385">
        <f t="shared" si="4"/>
        <v>12128</v>
      </c>
    </row>
    <row r="22" spans="1:22" s="329" customFormat="1" ht="15.75">
      <c r="A22" s="270">
        <v>13</v>
      </c>
      <c r="B22" s="208" t="s">
        <v>162</v>
      </c>
      <c r="C22" s="337">
        <f t="shared" si="1"/>
        <v>10388.532</v>
      </c>
      <c r="D22" s="337">
        <f t="shared" si="2"/>
        <v>10314.032</v>
      </c>
      <c r="E22" s="337"/>
      <c r="F22" s="337"/>
      <c r="G22" s="337"/>
      <c r="H22" s="337"/>
      <c r="I22" s="337"/>
      <c r="J22" s="337"/>
      <c r="K22" s="337">
        <v>10165.032</v>
      </c>
      <c r="L22" s="337">
        <v>21.112</v>
      </c>
      <c r="M22" s="337"/>
      <c r="N22" s="337"/>
      <c r="O22" s="337">
        <v>149</v>
      </c>
      <c r="P22" s="337"/>
      <c r="Q22" s="337">
        <f t="shared" si="3"/>
        <v>74.5</v>
      </c>
      <c r="R22" s="337"/>
      <c r="S22" s="337"/>
      <c r="T22" s="337">
        <v>74.5</v>
      </c>
      <c r="U22" s="337"/>
      <c r="V22" s="385">
        <f t="shared" si="4"/>
        <v>10165</v>
      </c>
    </row>
    <row r="23" spans="1:22" s="329" customFormat="1" ht="15.75">
      <c r="A23" s="270">
        <v>14</v>
      </c>
      <c r="B23" s="208" t="s">
        <v>163</v>
      </c>
      <c r="C23" s="337">
        <f t="shared" si="1"/>
        <v>12314.131</v>
      </c>
      <c r="D23" s="337">
        <f t="shared" si="2"/>
        <v>12183.030999999999</v>
      </c>
      <c r="E23" s="337"/>
      <c r="F23" s="337"/>
      <c r="G23" s="337"/>
      <c r="H23" s="337"/>
      <c r="I23" s="337"/>
      <c r="J23" s="337"/>
      <c r="K23" s="337">
        <v>12010.030999999999</v>
      </c>
      <c r="L23" s="337">
        <v>20.629</v>
      </c>
      <c r="M23" s="337"/>
      <c r="N23" s="337"/>
      <c r="O23" s="337">
        <v>173</v>
      </c>
      <c r="P23" s="337"/>
      <c r="Q23" s="337">
        <f t="shared" si="3"/>
        <v>131.1</v>
      </c>
      <c r="R23" s="337"/>
      <c r="S23" s="337"/>
      <c r="T23" s="337">
        <v>131.1</v>
      </c>
      <c r="U23" s="337"/>
      <c r="V23" s="385">
        <f t="shared" si="4"/>
        <v>12010</v>
      </c>
    </row>
    <row r="24" spans="1:22" s="329" customFormat="1" ht="15.75">
      <c r="A24" s="270">
        <v>15</v>
      </c>
      <c r="B24" s="208" t="s">
        <v>164</v>
      </c>
      <c r="C24" s="337">
        <f t="shared" si="1"/>
        <v>14461.871</v>
      </c>
      <c r="D24" s="337">
        <f t="shared" si="2"/>
        <v>14248.871</v>
      </c>
      <c r="E24" s="337"/>
      <c r="F24" s="337"/>
      <c r="G24" s="337"/>
      <c r="H24" s="337"/>
      <c r="I24" s="337"/>
      <c r="J24" s="337"/>
      <c r="K24" s="337">
        <v>14038.871</v>
      </c>
      <c r="L24" s="337">
        <v>22.059</v>
      </c>
      <c r="M24" s="337"/>
      <c r="N24" s="337"/>
      <c r="O24" s="337">
        <v>210</v>
      </c>
      <c r="P24" s="337"/>
      <c r="Q24" s="337">
        <f t="shared" si="3"/>
        <v>213</v>
      </c>
      <c r="R24" s="337"/>
      <c r="S24" s="337"/>
      <c r="T24" s="337">
        <v>213</v>
      </c>
      <c r="U24" s="337"/>
      <c r="V24" s="385">
        <f t="shared" si="4"/>
        <v>14039</v>
      </c>
    </row>
    <row r="25" spans="1:22" s="329" customFormat="1" ht="15.75">
      <c r="A25" s="331">
        <v>16</v>
      </c>
      <c r="B25" s="212" t="s">
        <v>165</v>
      </c>
      <c r="C25" s="338">
        <f t="shared" si="1"/>
        <v>13135.625</v>
      </c>
      <c r="D25" s="338">
        <f t="shared" si="2"/>
        <v>13043.525</v>
      </c>
      <c r="E25" s="338"/>
      <c r="F25" s="338"/>
      <c r="G25" s="338"/>
      <c r="H25" s="338"/>
      <c r="I25" s="338"/>
      <c r="J25" s="338"/>
      <c r="K25" s="338">
        <v>12859.525</v>
      </c>
      <c r="L25" s="338">
        <v>19.342</v>
      </c>
      <c r="M25" s="338"/>
      <c r="N25" s="338"/>
      <c r="O25" s="338">
        <v>184</v>
      </c>
      <c r="P25" s="338"/>
      <c r="Q25" s="338">
        <f t="shared" si="3"/>
        <v>92.1</v>
      </c>
      <c r="R25" s="338"/>
      <c r="S25" s="338"/>
      <c r="T25" s="338">
        <v>92.1</v>
      </c>
      <c r="U25" s="338"/>
      <c r="V25" s="385">
        <f t="shared" si="4"/>
        <v>12860</v>
      </c>
    </row>
  </sheetData>
  <sheetProtection/>
  <mergeCells count="19">
    <mergeCell ref="A2:U2"/>
    <mergeCell ref="A4:A7"/>
    <mergeCell ref="B4:B7"/>
    <mergeCell ref="C4:C7"/>
    <mergeCell ref="D4:P4"/>
    <mergeCell ref="Q4:T4"/>
    <mergeCell ref="U4:U7"/>
    <mergeCell ref="D5:D7"/>
    <mergeCell ref="S5:S7"/>
    <mergeCell ref="T5:T7"/>
    <mergeCell ref="P5:P7"/>
    <mergeCell ref="Q5:Q7"/>
    <mergeCell ref="R5:R7"/>
    <mergeCell ref="K6:K7"/>
    <mergeCell ref="L6:M6"/>
    <mergeCell ref="E5:J7"/>
    <mergeCell ref="K5:M5"/>
    <mergeCell ref="N5:N7"/>
    <mergeCell ref="O5:O7"/>
  </mergeCells>
  <printOptions horizontalCentered="1"/>
  <pageMargins left="0.4" right="0.4" top="0.4"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47"/>
  <sheetViews>
    <sheetView showZeros="0" zoomScale="120" zoomScaleNormal="120" zoomScalePageLayoutView="0" workbookViewId="0" topLeftCell="A1">
      <selection activeCell="A1" sqref="A1:F1"/>
    </sheetView>
  </sheetViews>
  <sheetFormatPr defaultColWidth="9.140625" defaultRowHeight="15"/>
  <cols>
    <col min="1" max="1" width="5.00390625" style="101" customWidth="1"/>
    <col min="2" max="2" width="44.8515625" style="100" customWidth="1"/>
    <col min="3" max="4" width="10.8515625" style="100" customWidth="1"/>
    <col min="5" max="6" width="10.140625" style="100" customWidth="1"/>
    <col min="7" max="16384" width="9.140625" style="100" customWidth="1"/>
  </cols>
  <sheetData>
    <row r="1" spans="1:6" s="99" customFormat="1" ht="14.25">
      <c r="A1" s="457" t="s">
        <v>114</v>
      </c>
      <c r="B1" s="457"/>
      <c r="C1" s="457"/>
      <c r="D1" s="457"/>
      <c r="E1" s="457"/>
      <c r="F1" s="457"/>
    </row>
    <row r="2" spans="1:6" ht="18.75">
      <c r="A2" s="458" t="s">
        <v>457</v>
      </c>
      <c r="B2" s="458"/>
      <c r="C2" s="458"/>
      <c r="D2" s="458"/>
      <c r="E2" s="458"/>
      <c r="F2" s="458"/>
    </row>
    <row r="3" spans="1:6" ht="18.75">
      <c r="A3" s="458"/>
      <c r="B3" s="458"/>
      <c r="C3" s="458"/>
      <c r="D3" s="458"/>
      <c r="E3" s="458"/>
      <c r="F3" s="458"/>
    </row>
    <row r="4" spans="1:6" ht="15.75">
      <c r="A4" s="105"/>
      <c r="B4" s="105"/>
      <c r="C4" s="105"/>
      <c r="D4" s="105"/>
      <c r="E4" s="459" t="s">
        <v>10</v>
      </c>
      <c r="F4" s="459"/>
    </row>
    <row r="5" spans="1:6" s="99" customFormat="1" ht="14.25" customHeight="1">
      <c r="A5" s="456" t="s">
        <v>0</v>
      </c>
      <c r="B5" s="456" t="s">
        <v>9</v>
      </c>
      <c r="C5" s="456" t="s">
        <v>434</v>
      </c>
      <c r="D5" s="456" t="s">
        <v>453</v>
      </c>
      <c r="E5" s="456" t="s">
        <v>12</v>
      </c>
      <c r="F5" s="456"/>
    </row>
    <row r="6" spans="1:6" s="99" customFormat="1" ht="28.5">
      <c r="A6" s="456"/>
      <c r="B6" s="456"/>
      <c r="C6" s="456"/>
      <c r="D6" s="456"/>
      <c r="E6" s="229" t="s">
        <v>13</v>
      </c>
      <c r="F6" s="229" t="s">
        <v>99</v>
      </c>
    </row>
    <row r="7" spans="1:6" s="241" customFormat="1" ht="15">
      <c r="A7" s="240" t="s">
        <v>1</v>
      </c>
      <c r="B7" s="240" t="s">
        <v>6</v>
      </c>
      <c r="C7" s="240">
        <v>1</v>
      </c>
      <c r="D7" s="240">
        <v>2</v>
      </c>
      <c r="E7" s="240" t="s">
        <v>11</v>
      </c>
      <c r="F7" s="240" t="s">
        <v>14</v>
      </c>
    </row>
    <row r="8" spans="1:6" s="102" customFormat="1" ht="15.75">
      <c r="A8" s="111"/>
      <c r="B8" s="112" t="s">
        <v>23</v>
      </c>
      <c r="C8" s="113">
        <f>SUM(C9,C28,C33)</f>
        <v>1302971</v>
      </c>
      <c r="D8" s="113">
        <f>SUM(D9,D28,D33)</f>
        <v>1213887</v>
      </c>
      <c r="E8" s="113">
        <f>SUM(E9,E28,E33)</f>
        <v>-89084</v>
      </c>
      <c r="F8" s="29">
        <f>D8/C8*100</f>
        <v>93.1630097676771</v>
      </c>
    </row>
    <row r="9" spans="1:6" s="102" customFormat="1" ht="15.75">
      <c r="A9" s="114" t="s">
        <v>1</v>
      </c>
      <c r="B9" s="115" t="s">
        <v>96</v>
      </c>
      <c r="C9" s="116">
        <f>SUM(C10,C20,C24:C27)</f>
        <v>1296541</v>
      </c>
      <c r="D9" s="116">
        <f>SUM(D10,D20,D24:D27)</f>
        <v>1207699</v>
      </c>
      <c r="E9" s="116">
        <f>SUM(E10,E20,E24:E27)</f>
        <v>-88842</v>
      </c>
      <c r="F9" s="30">
        <f>D9/C9*100</f>
        <v>93.1477677913772</v>
      </c>
    </row>
    <row r="10" spans="1:6" s="102" customFormat="1" ht="15.75">
      <c r="A10" s="114" t="s">
        <v>2</v>
      </c>
      <c r="B10" s="115" t="s">
        <v>93</v>
      </c>
      <c r="C10" s="116">
        <f>SUM(C11,C18,C19)</f>
        <v>123293</v>
      </c>
      <c r="D10" s="116">
        <f>'[3]sheet1'!D14</f>
        <v>0</v>
      </c>
      <c r="E10" s="116">
        <f>SUM(E11,E18,E19)</f>
        <v>-123293</v>
      </c>
      <c r="F10" s="30">
        <f>D10/C10*100</f>
        <v>0</v>
      </c>
    </row>
    <row r="11" spans="1:6" s="102" customFormat="1" ht="15.75">
      <c r="A11" s="117">
        <v>1</v>
      </c>
      <c r="B11" s="118" t="s">
        <v>94</v>
      </c>
      <c r="C11" s="119">
        <f>'B14'!C11</f>
        <v>123153</v>
      </c>
      <c r="D11" s="119">
        <f>D10-D18-D19</f>
        <v>0</v>
      </c>
      <c r="E11" s="119">
        <f>D11-C11</f>
        <v>-123153</v>
      </c>
      <c r="F11" s="31">
        <f>D11/C11*100</f>
        <v>0</v>
      </c>
    </row>
    <row r="12" spans="1:6" s="102" customFormat="1" ht="15">
      <c r="A12" s="117"/>
      <c r="B12" s="120" t="s">
        <v>97</v>
      </c>
      <c r="C12" s="119"/>
      <c r="D12" s="119"/>
      <c r="E12" s="119"/>
      <c r="F12" s="121"/>
    </row>
    <row r="13" spans="1:6" s="102" customFormat="1" ht="15">
      <c r="A13" s="117"/>
      <c r="B13" s="120" t="s">
        <v>187</v>
      </c>
      <c r="C13" s="122">
        <f>'B14'!C13</f>
        <v>0</v>
      </c>
      <c r="D13" s="122"/>
      <c r="E13" s="122"/>
      <c r="F13" s="123"/>
    </row>
    <row r="14" spans="1:6" s="102" customFormat="1" ht="15">
      <c r="A14" s="117"/>
      <c r="B14" s="120" t="s">
        <v>188</v>
      </c>
      <c r="C14" s="122">
        <f>'B14'!C14</f>
        <v>0</v>
      </c>
      <c r="D14" s="122"/>
      <c r="E14" s="122"/>
      <c r="F14" s="123"/>
    </row>
    <row r="15" spans="1:6" s="102" customFormat="1" ht="15">
      <c r="A15" s="117"/>
      <c r="B15" s="120" t="s">
        <v>98</v>
      </c>
      <c r="C15" s="119"/>
      <c r="D15" s="119"/>
      <c r="E15" s="119"/>
      <c r="F15" s="121"/>
    </row>
    <row r="16" spans="1:6" s="102" customFormat="1" ht="15">
      <c r="A16" s="117"/>
      <c r="B16" s="120" t="s">
        <v>186</v>
      </c>
      <c r="C16" s="122">
        <f>'B14'!C16</f>
        <v>0</v>
      </c>
      <c r="D16" s="122"/>
      <c r="E16" s="122"/>
      <c r="F16" s="123"/>
    </row>
    <row r="17" spans="1:6" s="102" customFormat="1" ht="15">
      <c r="A17" s="117"/>
      <c r="B17" s="120" t="s">
        <v>191</v>
      </c>
      <c r="C17" s="122">
        <f>'B14'!C17</f>
        <v>16165</v>
      </c>
      <c r="D17" s="122"/>
      <c r="E17" s="122"/>
      <c r="F17" s="123"/>
    </row>
    <row r="18" spans="1:6" s="102" customFormat="1" ht="60">
      <c r="A18" s="117">
        <v>2</v>
      </c>
      <c r="B18" s="118" t="s">
        <v>104</v>
      </c>
      <c r="C18" s="119">
        <f>'B14'!C18</f>
        <v>0</v>
      </c>
      <c r="D18" s="119"/>
      <c r="E18" s="119"/>
      <c r="F18" s="121"/>
    </row>
    <row r="19" spans="1:6" s="102" customFormat="1" ht="15.75">
      <c r="A19" s="117">
        <v>3</v>
      </c>
      <c r="B19" s="118" t="s">
        <v>105</v>
      </c>
      <c r="C19" s="119">
        <f>'B14'!C19</f>
        <v>140</v>
      </c>
      <c r="D19" s="119"/>
      <c r="E19" s="119">
        <f>D19-C19</f>
        <v>-140</v>
      </c>
      <c r="F19" s="31"/>
    </row>
    <row r="20" spans="1:6" s="102" customFormat="1" ht="15.75">
      <c r="A20" s="114" t="s">
        <v>3</v>
      </c>
      <c r="B20" s="115" t="s">
        <v>7</v>
      </c>
      <c r="C20" s="116">
        <f>'B12'!C23</f>
        <v>1146718</v>
      </c>
      <c r="D20" s="116">
        <f>'[3]sheet1'!D19-D26-D28</f>
        <v>1181169</v>
      </c>
      <c r="E20" s="116">
        <f>D20-C20</f>
        <v>34451</v>
      </c>
      <c r="F20" s="30">
        <f>D20/C20*100</f>
        <v>103.00431317900302</v>
      </c>
    </row>
    <row r="21" spans="1:6" s="102" customFormat="1" ht="15">
      <c r="A21" s="117"/>
      <c r="B21" s="120" t="s">
        <v>106</v>
      </c>
      <c r="C21" s="119"/>
      <c r="D21" s="119"/>
      <c r="E21" s="119"/>
      <c r="F21" s="121"/>
    </row>
    <row r="22" spans="1:6" s="102" customFormat="1" ht="15.75">
      <c r="A22" s="117">
        <v>1</v>
      </c>
      <c r="B22" s="120" t="s">
        <v>100</v>
      </c>
      <c r="C22" s="122">
        <f>'B14'!C22</f>
        <v>513474</v>
      </c>
      <c r="D22" s="122">
        <f>'[3]sheet1'!D32+'B41'!L9</f>
        <v>529374.1776</v>
      </c>
      <c r="E22" s="122">
        <f>D22-C22</f>
        <v>15900.177600000054</v>
      </c>
      <c r="F22" s="106">
        <f>D22/C22*100</f>
        <v>103.09658864908448</v>
      </c>
    </row>
    <row r="23" spans="1:6" s="102" customFormat="1" ht="15">
      <c r="A23" s="117">
        <v>2</v>
      </c>
      <c r="B23" s="120" t="s">
        <v>101</v>
      </c>
      <c r="C23" s="122"/>
      <c r="D23" s="122"/>
      <c r="E23" s="122"/>
      <c r="F23" s="123"/>
    </row>
    <row r="24" spans="1:6" s="102" customFormat="1" ht="28.5">
      <c r="A24" s="114" t="s">
        <v>4</v>
      </c>
      <c r="B24" s="115" t="s">
        <v>107</v>
      </c>
      <c r="C24" s="119"/>
      <c r="D24" s="119"/>
      <c r="E24" s="119"/>
      <c r="F24" s="121"/>
    </row>
    <row r="25" spans="1:6" s="102" customFormat="1" ht="15">
      <c r="A25" s="114" t="s">
        <v>21</v>
      </c>
      <c r="B25" s="115" t="s">
        <v>48</v>
      </c>
      <c r="C25" s="119"/>
      <c r="D25" s="119"/>
      <c r="E25" s="119"/>
      <c r="F25" s="121"/>
    </row>
    <row r="26" spans="1:6" s="103" customFormat="1" ht="15.75">
      <c r="A26" s="114" t="s">
        <v>46</v>
      </c>
      <c r="B26" s="115" t="s">
        <v>8</v>
      </c>
      <c r="C26" s="116">
        <f>'B12'!C26</f>
        <v>26530</v>
      </c>
      <c r="D26" s="116">
        <f>'BS69'!E27</f>
        <v>26530</v>
      </c>
      <c r="E26" s="116">
        <f>D26-C26</f>
        <v>0</v>
      </c>
      <c r="F26" s="30">
        <f>D26/C26*100</f>
        <v>100</v>
      </c>
    </row>
    <row r="27" spans="1:6" s="102" customFormat="1" ht="15">
      <c r="A27" s="114" t="s">
        <v>108</v>
      </c>
      <c r="B27" s="115" t="s">
        <v>109</v>
      </c>
      <c r="C27" s="119"/>
      <c r="D27" s="119"/>
      <c r="E27" s="119"/>
      <c r="F27" s="121"/>
    </row>
    <row r="28" spans="1:6" s="102" customFormat="1" ht="15.75">
      <c r="A28" s="114" t="s">
        <v>6</v>
      </c>
      <c r="B28" s="115" t="s">
        <v>110</v>
      </c>
      <c r="C28" s="116">
        <f>SUM(C29:C30)</f>
        <v>6430</v>
      </c>
      <c r="D28" s="116">
        <f>SUM(D29:D30)</f>
        <v>6188</v>
      </c>
      <c r="E28" s="116">
        <f>SUM(E29:E30)</f>
        <v>-242</v>
      </c>
      <c r="F28" s="30">
        <f>D28/C28*100</f>
        <v>96.23639191290825</v>
      </c>
    </row>
    <row r="29" spans="1:6" s="102" customFormat="1" ht="15">
      <c r="A29" s="114" t="s">
        <v>2</v>
      </c>
      <c r="B29" s="115" t="s">
        <v>28</v>
      </c>
      <c r="C29" s="119"/>
      <c r="D29" s="119"/>
      <c r="E29" s="119"/>
      <c r="F29" s="121"/>
    </row>
    <row r="30" spans="1:6" s="102" customFormat="1" ht="15.75">
      <c r="A30" s="114" t="s">
        <v>3</v>
      </c>
      <c r="B30" s="115" t="s">
        <v>29</v>
      </c>
      <c r="C30" s="116">
        <f>SUM(C31:C32)</f>
        <v>6430</v>
      </c>
      <c r="D30" s="116">
        <f>SUM(D31:D32)</f>
        <v>6188</v>
      </c>
      <c r="E30" s="116">
        <f>SUM(E31:E32)</f>
        <v>-242</v>
      </c>
      <c r="F30" s="30">
        <f>D30/C30*100</f>
        <v>96.23639191290825</v>
      </c>
    </row>
    <row r="31" spans="1:6" s="102" customFormat="1" ht="15.75">
      <c r="A31" s="117"/>
      <c r="B31" s="118" t="s">
        <v>113</v>
      </c>
      <c r="C31" s="119">
        <f>'B14'!C31</f>
        <v>6430</v>
      </c>
      <c r="D31" s="119">
        <f>'BS79'!K9</f>
        <v>6188</v>
      </c>
      <c r="E31" s="119">
        <f>D31-C31</f>
        <v>-242</v>
      </c>
      <c r="F31" s="31">
        <f>D31/C31*100</f>
        <v>96.23639191290825</v>
      </c>
    </row>
    <row r="32" spans="1:6" s="102" customFormat="1" ht="15.75">
      <c r="A32" s="117"/>
      <c r="B32" s="118" t="s">
        <v>360</v>
      </c>
      <c r="C32" s="119">
        <f>'B14'!C32</f>
        <v>0</v>
      </c>
      <c r="D32" s="119"/>
      <c r="E32" s="119">
        <f>D32-C32</f>
        <v>0</v>
      </c>
      <c r="F32" s="31"/>
    </row>
    <row r="33" spans="1:6" s="99" customFormat="1" ht="15">
      <c r="A33" s="107" t="s">
        <v>77</v>
      </c>
      <c r="B33" s="108" t="s">
        <v>111</v>
      </c>
      <c r="C33" s="109"/>
      <c r="D33" s="109"/>
      <c r="E33" s="109"/>
      <c r="F33" s="110"/>
    </row>
    <row r="34" spans="1:6" s="99" customFormat="1" ht="15">
      <c r="A34" s="455"/>
      <c r="B34" s="455"/>
      <c r="C34" s="455"/>
      <c r="D34" s="455"/>
      <c r="E34" s="455"/>
      <c r="F34" s="455"/>
    </row>
    <row r="35" spans="1:6" s="99" customFormat="1" ht="15">
      <c r="A35" s="105"/>
      <c r="B35" s="105"/>
      <c r="C35" s="105"/>
      <c r="D35" s="105"/>
      <c r="E35" s="105"/>
      <c r="F35" s="105"/>
    </row>
    <row r="36" spans="1:6" s="99" customFormat="1" ht="15">
      <c r="A36" s="105"/>
      <c r="B36" s="105"/>
      <c r="C36" s="105"/>
      <c r="D36" s="105"/>
      <c r="E36" s="105"/>
      <c r="F36" s="105"/>
    </row>
    <row r="37" spans="1:6" s="99" customFormat="1" ht="15">
      <c r="A37" s="105"/>
      <c r="B37" s="105"/>
      <c r="C37" s="105"/>
      <c r="D37" s="105"/>
      <c r="E37" s="105"/>
      <c r="F37" s="105"/>
    </row>
    <row r="38" spans="1:6" s="99" customFormat="1" ht="15">
      <c r="A38" s="105"/>
      <c r="B38" s="105"/>
      <c r="C38" s="105"/>
      <c r="D38" s="105"/>
      <c r="E38" s="105"/>
      <c r="F38" s="105"/>
    </row>
    <row r="39" spans="1:6" s="99" customFormat="1" ht="15">
      <c r="A39" s="105"/>
      <c r="B39" s="105"/>
      <c r="C39" s="105"/>
      <c r="D39" s="105"/>
      <c r="E39" s="105"/>
      <c r="F39" s="105"/>
    </row>
    <row r="40" spans="1:6" s="99" customFormat="1" ht="15">
      <c r="A40" s="105"/>
      <c r="B40" s="105"/>
      <c r="C40" s="105"/>
      <c r="D40" s="105"/>
      <c r="E40" s="105"/>
      <c r="F40" s="105"/>
    </row>
    <row r="41" spans="1:6" s="99" customFormat="1" ht="15">
      <c r="A41" s="105"/>
      <c r="B41" s="105"/>
      <c r="C41" s="105"/>
      <c r="D41" s="105"/>
      <c r="E41" s="105"/>
      <c r="F41" s="105"/>
    </row>
    <row r="42" spans="1:6" s="99" customFormat="1" ht="15">
      <c r="A42" s="105"/>
      <c r="B42" s="105"/>
      <c r="C42" s="105"/>
      <c r="D42" s="105"/>
      <c r="E42" s="105"/>
      <c r="F42" s="105"/>
    </row>
    <row r="43" spans="1:6" s="99" customFormat="1" ht="15">
      <c r="A43" s="105"/>
      <c r="B43" s="105"/>
      <c r="C43" s="105"/>
      <c r="D43" s="105"/>
      <c r="E43" s="105"/>
      <c r="F43" s="105"/>
    </row>
    <row r="44" spans="1:6" s="99" customFormat="1" ht="15">
      <c r="A44" s="105"/>
      <c r="B44" s="105"/>
      <c r="C44" s="105"/>
      <c r="D44" s="105"/>
      <c r="E44" s="105"/>
      <c r="F44" s="105"/>
    </row>
    <row r="45" spans="1:6" ht="15.75">
      <c r="A45" s="105"/>
      <c r="B45" s="105"/>
      <c r="C45" s="105"/>
      <c r="D45" s="105"/>
      <c r="E45" s="105"/>
      <c r="F45" s="105"/>
    </row>
    <row r="46" spans="2:6" ht="15.75">
      <c r="B46" s="104"/>
      <c r="C46" s="104"/>
      <c r="D46" s="104"/>
      <c r="E46" s="104"/>
      <c r="F46" s="104"/>
    </row>
    <row r="47" spans="2:6" ht="15.75">
      <c r="B47" s="104"/>
      <c r="C47" s="104"/>
      <c r="D47" s="104"/>
      <c r="E47" s="104"/>
      <c r="F47" s="104"/>
    </row>
  </sheetData>
  <sheetProtection/>
  <mergeCells count="10">
    <mergeCell ref="A34:F34"/>
    <mergeCell ref="A1:F1"/>
    <mergeCell ref="A2:F2"/>
    <mergeCell ref="A3:F3"/>
    <mergeCell ref="E4:F4"/>
    <mergeCell ref="A5:A6"/>
    <mergeCell ref="B5:B6"/>
    <mergeCell ref="C5:C6"/>
    <mergeCell ref="D5:D6"/>
    <mergeCell ref="E5:F5"/>
  </mergeCells>
  <printOptions/>
  <pageMargins left="0.5" right="0.5" top="0.748031496062992" bottom="0.748031496062992" header="0.31496062992126" footer="0.31496062992126"/>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41"/>
  <sheetViews>
    <sheetView showZeros="0" zoomScale="120" zoomScaleNormal="120" zoomScalePageLayoutView="0" workbookViewId="0" topLeftCell="A1">
      <selection activeCell="A1" sqref="A1:F1"/>
    </sheetView>
  </sheetViews>
  <sheetFormatPr defaultColWidth="9.140625" defaultRowHeight="15"/>
  <cols>
    <col min="1" max="1" width="6.28125" style="128" customWidth="1"/>
    <col min="2" max="2" width="41.57421875" style="128" customWidth="1"/>
    <col min="3" max="4" width="11.00390625" style="128" customWidth="1"/>
    <col min="5" max="6" width="10.57421875" style="128" customWidth="1"/>
    <col min="7" max="16384" width="9.140625" style="128" customWidth="1"/>
  </cols>
  <sheetData>
    <row r="1" spans="1:6" ht="22.5" customHeight="1">
      <c r="A1" s="472" t="s">
        <v>115</v>
      </c>
      <c r="B1" s="472"/>
      <c r="C1" s="472"/>
      <c r="D1" s="472"/>
      <c r="E1" s="472"/>
      <c r="F1" s="472"/>
    </row>
    <row r="2" spans="1:6" ht="38.25" customHeight="1">
      <c r="A2" s="434" t="s">
        <v>458</v>
      </c>
      <c r="B2" s="434"/>
      <c r="C2" s="434"/>
      <c r="D2" s="434"/>
      <c r="E2" s="434"/>
      <c r="F2" s="434"/>
    </row>
    <row r="3" spans="1:6" ht="15">
      <c r="A3" s="434"/>
      <c r="B3" s="434"/>
      <c r="C3" s="434"/>
      <c r="D3" s="434"/>
      <c r="E3" s="434"/>
      <c r="F3" s="434"/>
    </row>
    <row r="4" spans="5:6" ht="15">
      <c r="E4" s="473" t="s">
        <v>10</v>
      </c>
      <c r="F4" s="473"/>
    </row>
    <row r="5" spans="1:6" ht="15" customHeight="1">
      <c r="A5" s="432" t="s">
        <v>0</v>
      </c>
      <c r="B5" s="432" t="s">
        <v>9</v>
      </c>
      <c r="C5" s="432" t="s">
        <v>434</v>
      </c>
      <c r="D5" s="474" t="s">
        <v>452</v>
      </c>
      <c r="E5" s="476" t="s">
        <v>12</v>
      </c>
      <c r="F5" s="476"/>
    </row>
    <row r="6" spans="1:6" ht="28.5">
      <c r="A6" s="433"/>
      <c r="B6" s="433"/>
      <c r="C6" s="433"/>
      <c r="D6" s="475"/>
      <c r="E6" s="148" t="s">
        <v>13</v>
      </c>
      <c r="F6" s="148" t="s">
        <v>116</v>
      </c>
    </row>
    <row r="7" spans="1:6" ht="15">
      <c r="A7" s="242" t="s">
        <v>1</v>
      </c>
      <c r="B7" s="242" t="s">
        <v>6</v>
      </c>
      <c r="C7" s="242">
        <v>1</v>
      </c>
      <c r="D7" s="242">
        <v>2</v>
      </c>
      <c r="E7" s="242" t="s">
        <v>11</v>
      </c>
      <c r="F7" s="242" t="s">
        <v>14</v>
      </c>
    </row>
    <row r="8" spans="1:6" ht="15">
      <c r="A8" s="144" t="s">
        <v>1</v>
      </c>
      <c r="B8" s="145" t="s">
        <v>121</v>
      </c>
      <c r="C8" s="146"/>
      <c r="D8" s="146"/>
      <c r="E8" s="147"/>
      <c r="F8" s="147"/>
    </row>
    <row r="9" spans="1:6" ht="15">
      <c r="A9" s="133" t="s">
        <v>2</v>
      </c>
      <c r="B9" s="134" t="s">
        <v>36</v>
      </c>
      <c r="C9" s="137">
        <f>SUM(C10,C11,C14:C16)</f>
        <v>1283317</v>
      </c>
      <c r="D9" s="137">
        <f>SUM(D10,D11,D14:D16)</f>
        <v>1573160</v>
      </c>
      <c r="E9" s="137">
        <f>SUM(E10,E11,E14:E16)</f>
        <v>289843</v>
      </c>
      <c r="F9" s="315">
        <f>D9/C9*100</f>
        <v>122.5854562824306</v>
      </c>
    </row>
    <row r="10" spans="1:6" ht="15">
      <c r="A10" s="138">
        <v>1</v>
      </c>
      <c r="B10" s="139" t="s">
        <v>37</v>
      </c>
      <c r="C10" s="135">
        <f>'[2]sheet1'!D14+'[2]sheet1'!D23+'[2]sheet1'!D30+'[2]sheet1'!D31+'[2]sheet1'!D32</f>
        <v>185157</v>
      </c>
      <c r="D10" s="135">
        <f>'[2]sheet1'!H14+'[2]sheet1'!H23+'[2]sheet1'!H30+'[2]sheet1'!H31+'[2]sheet1'!H32+'[2]sheet1'!H36+'[2]sheet1'!H37</f>
        <v>177698</v>
      </c>
      <c r="E10" s="316">
        <f>D10-C10</f>
        <v>-7459</v>
      </c>
      <c r="F10" s="317">
        <f>D10/C10*100</f>
        <v>95.97152686638907</v>
      </c>
    </row>
    <row r="11" spans="1:6" ht="15">
      <c r="A11" s="138">
        <v>2</v>
      </c>
      <c r="B11" s="139" t="s">
        <v>17</v>
      </c>
      <c r="C11" s="135">
        <f>SUM(C12:C13)</f>
        <v>1096778</v>
      </c>
      <c r="D11" s="135">
        <f>SUM(D12:D13)</f>
        <v>1107224</v>
      </c>
      <c r="E11" s="135">
        <f>SUM(E12:E13)</f>
        <v>10446</v>
      </c>
      <c r="F11" s="317">
        <f>D11/C11*100</f>
        <v>100.95242610628587</v>
      </c>
    </row>
    <row r="12" spans="1:6" ht="15">
      <c r="A12" s="138"/>
      <c r="B12" s="139" t="s">
        <v>123</v>
      </c>
      <c r="C12" s="135">
        <f>'B12'!C15</f>
        <v>972442</v>
      </c>
      <c r="D12" s="135">
        <f>'B12'!D15</f>
        <v>972442</v>
      </c>
      <c r="E12" s="316">
        <f>D12-C12</f>
        <v>0</v>
      </c>
      <c r="F12" s="317">
        <f>D12/C12*100</f>
        <v>100</v>
      </c>
    </row>
    <row r="13" spans="1:6" ht="15">
      <c r="A13" s="138"/>
      <c r="B13" s="139" t="s">
        <v>124</v>
      </c>
      <c r="C13" s="135">
        <f>'B12'!C16</f>
        <v>124336</v>
      </c>
      <c r="D13" s="135">
        <f>'B12'!D16</f>
        <v>134782</v>
      </c>
      <c r="E13" s="316">
        <f>D13-C13</f>
        <v>10446</v>
      </c>
      <c r="F13" s="317">
        <f>D13/C13*100</f>
        <v>108.4014283875949</v>
      </c>
    </row>
    <row r="14" spans="1:6" ht="15">
      <c r="A14" s="138">
        <v>3</v>
      </c>
      <c r="B14" s="139" t="s">
        <v>45</v>
      </c>
      <c r="C14" s="135"/>
      <c r="D14" s="135"/>
      <c r="E14" s="136"/>
      <c r="F14" s="136"/>
    </row>
    <row r="15" spans="1:6" ht="15">
      <c r="A15" s="138">
        <v>4</v>
      </c>
      <c r="B15" s="139" t="s">
        <v>117</v>
      </c>
      <c r="C15" s="135"/>
      <c r="D15" s="135">
        <f>'[2]sheet1'!H35</f>
        <v>253356</v>
      </c>
      <c r="E15" s="316">
        <f>D15-C15</f>
        <v>253356</v>
      </c>
      <c r="F15" s="136"/>
    </row>
    <row r="16" spans="1:6" ht="15">
      <c r="A16" s="138">
        <v>5</v>
      </c>
      <c r="B16" s="139" t="s">
        <v>22</v>
      </c>
      <c r="C16" s="332">
        <f>'[2]sheet1'!D34+'[2]sheet1'!D36</f>
        <v>1382</v>
      </c>
      <c r="D16" s="135">
        <f>'[2]sheet1'!H34</f>
        <v>34882</v>
      </c>
      <c r="E16" s="316">
        <f>D16-C16</f>
        <v>33500</v>
      </c>
      <c r="F16" s="317">
        <f>D16/C16*100</f>
        <v>2524.023154848046</v>
      </c>
    </row>
    <row r="17" spans="1:6" ht="15">
      <c r="A17" s="133" t="s">
        <v>3</v>
      </c>
      <c r="B17" s="134" t="s">
        <v>118</v>
      </c>
      <c r="C17" s="137">
        <f>SUM(C18:C19,C22)</f>
        <v>1283317</v>
      </c>
      <c r="D17" s="137">
        <f>SUM(D18:D19,D22)</f>
        <v>1340472</v>
      </c>
      <c r="E17" s="137">
        <f>SUM(E18:E19,E22)</f>
        <v>57155</v>
      </c>
      <c r="F17" s="315">
        <f>D17/C17*100</f>
        <v>104.45369304700243</v>
      </c>
    </row>
    <row r="18" spans="1:6" ht="15">
      <c r="A18" s="138">
        <v>1</v>
      </c>
      <c r="B18" s="139" t="s">
        <v>125</v>
      </c>
      <c r="C18" s="135">
        <f>'[3]sheet1'!B12-'[3]sheet1'!B49</f>
        <v>1100979</v>
      </c>
      <c r="D18" s="135">
        <f>'[3]sheet1'!C12-'[3]sheet1'!C49</f>
        <v>1149735</v>
      </c>
      <c r="E18" s="316">
        <f>D18-C18</f>
        <v>48756</v>
      </c>
      <c r="F18" s="317">
        <f>D18/C18*100</f>
        <v>104.4284223404806</v>
      </c>
    </row>
    <row r="19" spans="1:6" ht="15">
      <c r="A19" s="138">
        <v>2</v>
      </c>
      <c r="B19" s="139" t="s">
        <v>38</v>
      </c>
      <c r="C19" s="135">
        <f>SUM(C20:C21)</f>
        <v>182338</v>
      </c>
      <c r="D19" s="135">
        <f>SUM(D20:D21)</f>
        <v>190737</v>
      </c>
      <c r="E19" s="135">
        <f>SUM(E20:E21)</f>
        <v>8399</v>
      </c>
      <c r="F19" s="317">
        <f>D19/C19*100</f>
        <v>104.60628064363983</v>
      </c>
    </row>
    <row r="20" spans="1:6" ht="15">
      <c r="A20" s="138"/>
      <c r="B20" s="139" t="s">
        <v>126</v>
      </c>
      <c r="C20" s="135">
        <f>C28</f>
        <v>182338</v>
      </c>
      <c r="D20" s="135">
        <f>D28</f>
        <v>180979</v>
      </c>
      <c r="E20" s="316">
        <f>D20-C20</f>
        <v>-1359</v>
      </c>
      <c r="F20" s="317">
        <f>D20/C20*100</f>
        <v>99.2546808674001</v>
      </c>
    </row>
    <row r="21" spans="1:6" ht="15">
      <c r="A21" s="138"/>
      <c r="B21" s="139" t="s">
        <v>127</v>
      </c>
      <c r="C21" s="135">
        <f>C29</f>
        <v>0</v>
      </c>
      <c r="D21" s="135">
        <f>D29</f>
        <v>9758</v>
      </c>
      <c r="E21" s="316">
        <f>D21-C21</f>
        <v>9758</v>
      </c>
      <c r="F21" s="317"/>
    </row>
    <row r="22" spans="1:6" ht="15">
      <c r="A22" s="138">
        <v>3</v>
      </c>
      <c r="B22" s="139" t="s">
        <v>30</v>
      </c>
      <c r="C22" s="135"/>
      <c r="D22" s="135"/>
      <c r="E22" s="316">
        <f>D22-C22</f>
        <v>0</v>
      </c>
      <c r="F22" s="136"/>
    </row>
    <row r="23" spans="1:6" ht="15">
      <c r="A23" s="133" t="s">
        <v>4</v>
      </c>
      <c r="B23" s="134" t="s">
        <v>119</v>
      </c>
      <c r="C23" s="135"/>
      <c r="D23" s="135"/>
      <c r="E23" s="136"/>
      <c r="F23" s="136"/>
    </row>
    <row r="24" spans="1:6" ht="15">
      <c r="A24" s="133" t="s">
        <v>6</v>
      </c>
      <c r="B24" s="134" t="s">
        <v>122</v>
      </c>
      <c r="C24" s="135"/>
      <c r="D24" s="135"/>
      <c r="E24" s="136"/>
      <c r="F24" s="136"/>
    </row>
    <row r="25" spans="1:6" ht="15">
      <c r="A25" s="133" t="s">
        <v>2</v>
      </c>
      <c r="B25" s="134" t="s">
        <v>36</v>
      </c>
      <c r="C25" s="137">
        <f>SUM(C26,C27,C30:C31)</f>
        <v>201992</v>
      </c>
      <c r="D25" s="137">
        <f>SUM(D26,D27,D30:D31)</f>
        <v>255217</v>
      </c>
      <c r="E25" s="137">
        <f>SUM(E26,E27,E30:E31)</f>
        <v>53225</v>
      </c>
      <c r="F25" s="315">
        <f>D25/C25*100</f>
        <v>126.35005346746406</v>
      </c>
    </row>
    <row r="26" spans="1:6" ht="15">
      <c r="A26" s="138">
        <v>1</v>
      </c>
      <c r="B26" s="139" t="s">
        <v>37</v>
      </c>
      <c r="C26" s="135">
        <f>'[2]sheet1'!E25+'[2]sheet1'!E30+'[2]sheet1'!E31+'[2]sheet1'!E32</f>
        <v>17891</v>
      </c>
      <c r="D26" s="135">
        <f>'[2]sheet1'!I25+'[2]sheet1'!I30+'[2]sheet1'!I31+'[2]sheet1'!I32</f>
        <v>23821</v>
      </c>
      <c r="E26" s="316">
        <f>D26-C26</f>
        <v>5930</v>
      </c>
      <c r="F26" s="317">
        <f>D26/C26*100</f>
        <v>133.14515678273992</v>
      </c>
    </row>
    <row r="27" spans="1:6" ht="15">
      <c r="A27" s="138">
        <v>2</v>
      </c>
      <c r="B27" s="139" t="s">
        <v>17</v>
      </c>
      <c r="C27" s="135">
        <f>'[2]sheet1'!E33</f>
        <v>182338</v>
      </c>
      <c r="D27" s="135">
        <f>'[2]sheet1'!I33</f>
        <v>190737</v>
      </c>
      <c r="E27" s="135">
        <f>SUM(E28:E29)</f>
        <v>8399</v>
      </c>
      <c r="F27" s="317">
        <f>D27/C27*100</f>
        <v>104.60628064363983</v>
      </c>
    </row>
    <row r="28" spans="1:6" ht="15">
      <c r="A28" s="138"/>
      <c r="B28" s="139" t="s">
        <v>123</v>
      </c>
      <c r="C28" s="332">
        <f>'[2]sheet1'!E33</f>
        <v>182338</v>
      </c>
      <c r="D28" s="135">
        <f>C28-1359</f>
        <v>180979</v>
      </c>
      <c r="E28" s="316">
        <f>D28-C28</f>
        <v>-1359</v>
      </c>
      <c r="F28" s="317">
        <f>D28/C28*100</f>
        <v>99.2546808674001</v>
      </c>
    </row>
    <row r="29" spans="1:6" ht="15">
      <c r="A29" s="138"/>
      <c r="B29" s="139" t="s">
        <v>124</v>
      </c>
      <c r="C29" s="135">
        <f>C27-C28</f>
        <v>0</v>
      </c>
      <c r="D29" s="135">
        <f>D27-D28</f>
        <v>9758</v>
      </c>
      <c r="E29" s="316">
        <f>D29-C29</f>
        <v>9758</v>
      </c>
      <c r="F29" s="317"/>
    </row>
    <row r="30" spans="1:6" ht="15">
      <c r="A30" s="138">
        <v>3</v>
      </c>
      <c r="B30" s="139" t="s">
        <v>20</v>
      </c>
      <c r="C30" s="135"/>
      <c r="D30" s="135">
        <f>'[2]sheet1'!I35</f>
        <v>25589</v>
      </c>
      <c r="E30" s="316">
        <f>D30-C30</f>
        <v>25589</v>
      </c>
      <c r="F30" s="136"/>
    </row>
    <row r="31" spans="1:6" ht="15">
      <c r="A31" s="138">
        <v>4</v>
      </c>
      <c r="B31" s="139" t="s">
        <v>22</v>
      </c>
      <c r="C31" s="135">
        <f>'[2]sheet1'!E34+'[2]sheet1'!E36</f>
        <v>1763</v>
      </c>
      <c r="D31" s="135">
        <f>'[2]sheet1'!I34</f>
        <v>15070</v>
      </c>
      <c r="E31" s="316">
        <f>D31-C31</f>
        <v>13307</v>
      </c>
      <c r="F31" s="136"/>
    </row>
    <row r="32" spans="1:6" ht="15">
      <c r="A32" s="133" t="s">
        <v>3</v>
      </c>
      <c r="B32" s="134" t="s">
        <v>118</v>
      </c>
      <c r="C32" s="137">
        <f>SUM(C33:C34,C37)</f>
        <v>201992</v>
      </c>
      <c r="D32" s="137">
        <f>SUM(D33:D34,D37)</f>
        <v>229309</v>
      </c>
      <c r="E32" s="137">
        <f>SUM(E33:E34,E37)</f>
        <v>27317</v>
      </c>
      <c r="F32" s="315">
        <f>D32/C32*100</f>
        <v>113.52380292288804</v>
      </c>
    </row>
    <row r="33" spans="1:6" ht="15">
      <c r="A33" s="138">
        <v>1</v>
      </c>
      <c r="B33" s="139" t="s">
        <v>128</v>
      </c>
      <c r="C33" s="135">
        <f>'[3]sheet1'!B49</f>
        <v>201992</v>
      </c>
      <c r="D33" s="135">
        <f>'[3]sheet1'!C49+'[3]sheet1'!C57</f>
        <v>229309</v>
      </c>
      <c r="E33" s="316">
        <f>D33-C33</f>
        <v>27317</v>
      </c>
      <c r="F33" s="317">
        <f>D33/C33*100</f>
        <v>113.52380292288804</v>
      </c>
    </row>
    <row r="34" spans="1:6" ht="15">
      <c r="A34" s="138">
        <v>2</v>
      </c>
      <c r="B34" s="139" t="s">
        <v>120</v>
      </c>
      <c r="C34" s="135"/>
      <c r="D34" s="135"/>
      <c r="E34" s="136"/>
      <c r="F34" s="136"/>
    </row>
    <row r="35" spans="1:6" ht="15">
      <c r="A35" s="138"/>
      <c r="B35" s="139" t="s">
        <v>126</v>
      </c>
      <c r="C35" s="135"/>
      <c r="D35" s="135"/>
      <c r="E35" s="136"/>
      <c r="F35" s="136"/>
    </row>
    <row r="36" spans="1:6" ht="15">
      <c r="A36" s="138"/>
      <c r="B36" s="139" t="s">
        <v>127</v>
      </c>
      <c r="C36" s="135"/>
      <c r="D36" s="135"/>
      <c r="E36" s="136"/>
      <c r="F36" s="136"/>
    </row>
    <row r="37" spans="1:6" ht="15">
      <c r="A37" s="140">
        <v>3</v>
      </c>
      <c r="B37" s="141" t="s">
        <v>30</v>
      </c>
      <c r="C37" s="142"/>
      <c r="D37" s="142"/>
      <c r="E37" s="318">
        <f>D37-C37</f>
        <v>0</v>
      </c>
      <c r="F37" s="143"/>
    </row>
    <row r="38" spans="1:4" ht="15">
      <c r="A38" s="132"/>
      <c r="B38" s="128" t="s">
        <v>490</v>
      </c>
      <c r="D38" s="356">
        <v>4021</v>
      </c>
    </row>
    <row r="39" spans="1:6" ht="15">
      <c r="A39" s="471"/>
      <c r="B39" s="471"/>
      <c r="C39" s="471"/>
      <c r="D39" s="471"/>
      <c r="E39" s="471"/>
      <c r="F39" s="471"/>
    </row>
    <row r="40" spans="1:6" ht="15">
      <c r="A40" s="471"/>
      <c r="B40" s="471"/>
      <c r="C40" s="471"/>
      <c r="D40" s="471"/>
      <c r="E40" s="471"/>
      <c r="F40" s="471"/>
    </row>
    <row r="41" ht="15">
      <c r="D41" s="356">
        <f>SUM(D17,D32)-D19-'[3]sheet1'!C12-D38</f>
        <v>0</v>
      </c>
    </row>
  </sheetData>
  <sheetProtection/>
  <mergeCells count="11">
    <mergeCell ref="E5:F5"/>
    <mergeCell ref="A39:F39"/>
    <mergeCell ref="A40:F40"/>
    <mergeCell ref="A1:F1"/>
    <mergeCell ref="A2:F2"/>
    <mergeCell ref="A3:F3"/>
    <mergeCell ref="E4:F4"/>
    <mergeCell ref="A5:A6"/>
    <mergeCell ref="B5:B6"/>
    <mergeCell ref="C5:C6"/>
    <mergeCell ref="D5:D6"/>
  </mergeCells>
  <printOptions horizontalCentered="1"/>
  <pageMargins left="0.5" right="0.5"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N28"/>
  <sheetViews>
    <sheetView showZeros="0" zoomScale="110" zoomScaleNormal="110" zoomScalePageLayoutView="0" workbookViewId="0" topLeftCell="A1">
      <selection activeCell="A1" sqref="A1:N1"/>
    </sheetView>
  </sheetViews>
  <sheetFormatPr defaultColWidth="6.00390625" defaultRowHeight="15"/>
  <cols>
    <col min="1" max="1" width="6.00390625" style="128" customWidth="1"/>
    <col min="2" max="2" width="16.28125" style="128" customWidth="1"/>
    <col min="3" max="4" width="10.140625" style="128" customWidth="1"/>
    <col min="5" max="5" width="8.8515625" style="128" customWidth="1"/>
    <col min="6" max="6" width="8.421875" style="128" customWidth="1"/>
    <col min="7" max="8" width="10.28125" style="128" customWidth="1"/>
    <col min="9" max="9" width="8.8515625" style="128" customWidth="1"/>
    <col min="10" max="10" width="8.421875" style="128" customWidth="1"/>
    <col min="11" max="11" width="8.8515625" style="128" customWidth="1"/>
    <col min="12" max="12" width="8.57421875" style="128" customWidth="1"/>
    <col min="13" max="13" width="8.28125" style="128" customWidth="1"/>
    <col min="14" max="14" width="8.140625" style="128" customWidth="1"/>
    <col min="15" max="16384" width="6.00390625" style="128" customWidth="1"/>
  </cols>
  <sheetData>
    <row r="1" spans="1:14" ht="15">
      <c r="A1" s="472" t="s">
        <v>129</v>
      </c>
      <c r="B1" s="472"/>
      <c r="C1" s="472"/>
      <c r="D1" s="472"/>
      <c r="E1" s="472"/>
      <c r="F1" s="472"/>
      <c r="G1" s="472"/>
      <c r="H1" s="472"/>
      <c r="I1" s="472"/>
      <c r="J1" s="472"/>
      <c r="K1" s="472"/>
      <c r="L1" s="472"/>
      <c r="M1" s="472"/>
      <c r="N1" s="472"/>
    </row>
    <row r="2" spans="1:14" ht="15.75">
      <c r="A2" s="478" t="s">
        <v>459</v>
      </c>
      <c r="B2" s="478"/>
      <c r="C2" s="478"/>
      <c r="D2" s="478"/>
      <c r="E2" s="478"/>
      <c r="F2" s="478"/>
      <c r="G2" s="478"/>
      <c r="H2" s="478"/>
      <c r="I2" s="478"/>
      <c r="J2" s="478"/>
      <c r="K2" s="478"/>
      <c r="L2" s="478"/>
      <c r="M2" s="478"/>
      <c r="N2" s="478"/>
    </row>
    <row r="3" spans="1:14" ht="15">
      <c r="A3" s="434"/>
      <c r="B3" s="434"/>
      <c r="C3" s="434"/>
      <c r="D3" s="434"/>
      <c r="E3" s="434"/>
      <c r="F3" s="434"/>
      <c r="G3" s="434"/>
      <c r="H3" s="434"/>
      <c r="I3" s="434"/>
      <c r="J3" s="434"/>
      <c r="K3" s="434"/>
      <c r="L3" s="434"/>
      <c r="M3" s="434"/>
      <c r="N3" s="434"/>
    </row>
    <row r="4" spans="12:14" ht="15">
      <c r="L4" s="473" t="s">
        <v>10</v>
      </c>
      <c r="M4" s="473"/>
      <c r="N4" s="473"/>
    </row>
    <row r="5" spans="1:14" ht="15">
      <c r="A5" s="477" t="s">
        <v>0</v>
      </c>
      <c r="B5" s="477" t="s">
        <v>173</v>
      </c>
      <c r="C5" s="477" t="s">
        <v>437</v>
      </c>
      <c r="D5" s="477"/>
      <c r="E5" s="477"/>
      <c r="F5" s="477"/>
      <c r="G5" s="477" t="s">
        <v>452</v>
      </c>
      <c r="H5" s="477"/>
      <c r="I5" s="477"/>
      <c r="J5" s="477"/>
      <c r="K5" s="477" t="s">
        <v>50</v>
      </c>
      <c r="L5" s="477"/>
      <c r="M5" s="477"/>
      <c r="N5" s="477"/>
    </row>
    <row r="6" spans="1:14" ht="15">
      <c r="A6" s="477"/>
      <c r="B6" s="477"/>
      <c r="C6" s="477" t="s">
        <v>130</v>
      </c>
      <c r="D6" s="477" t="s">
        <v>131</v>
      </c>
      <c r="E6" s="477"/>
      <c r="F6" s="477"/>
      <c r="G6" s="477" t="s">
        <v>132</v>
      </c>
      <c r="H6" s="477" t="s">
        <v>131</v>
      </c>
      <c r="I6" s="477"/>
      <c r="J6" s="477"/>
      <c r="K6" s="477" t="s">
        <v>130</v>
      </c>
      <c r="L6" s="477" t="s">
        <v>131</v>
      </c>
      <c r="M6" s="477"/>
      <c r="N6" s="477"/>
    </row>
    <row r="7" spans="1:14" ht="86.25" customHeight="1">
      <c r="A7" s="477"/>
      <c r="B7" s="477"/>
      <c r="C7" s="477"/>
      <c r="D7" s="129" t="s">
        <v>31</v>
      </c>
      <c r="E7" s="129" t="s">
        <v>81</v>
      </c>
      <c r="F7" s="129" t="s">
        <v>133</v>
      </c>
      <c r="G7" s="477"/>
      <c r="H7" s="129" t="s">
        <v>31</v>
      </c>
      <c r="I7" s="129" t="s">
        <v>81</v>
      </c>
      <c r="J7" s="129" t="s">
        <v>133</v>
      </c>
      <c r="K7" s="477"/>
      <c r="L7" s="129" t="s">
        <v>31</v>
      </c>
      <c r="M7" s="129" t="s">
        <v>134</v>
      </c>
      <c r="N7" s="129" t="s">
        <v>133</v>
      </c>
    </row>
    <row r="8" spans="1:14" ht="15">
      <c r="A8" s="130" t="s">
        <v>1</v>
      </c>
      <c r="B8" s="130" t="s">
        <v>6</v>
      </c>
      <c r="C8" s="130">
        <v>1</v>
      </c>
      <c r="D8" s="130">
        <v>2</v>
      </c>
      <c r="E8" s="130">
        <v>3</v>
      </c>
      <c r="F8" s="130">
        <v>4</v>
      </c>
      <c r="G8" s="130">
        <v>5</v>
      </c>
      <c r="H8" s="130">
        <v>6</v>
      </c>
      <c r="I8" s="130">
        <v>7</v>
      </c>
      <c r="J8" s="130">
        <v>8</v>
      </c>
      <c r="K8" s="130" t="s">
        <v>135</v>
      </c>
      <c r="L8" s="130" t="s">
        <v>136</v>
      </c>
      <c r="M8" s="130" t="s">
        <v>137</v>
      </c>
      <c r="N8" s="130" t="s">
        <v>138</v>
      </c>
    </row>
    <row r="9" spans="1:14" ht="15">
      <c r="A9" s="155"/>
      <c r="B9" s="156" t="s">
        <v>149</v>
      </c>
      <c r="C9" s="197">
        <f>SUM(C10:C25)</f>
        <v>17891</v>
      </c>
      <c r="D9" s="197">
        <f aca="true" t="shared" si="0" ref="D9:J9">SUM(D10:D25)</f>
        <v>17891</v>
      </c>
      <c r="E9" s="197">
        <f t="shared" si="0"/>
        <v>0</v>
      </c>
      <c r="F9" s="197">
        <f t="shared" si="0"/>
        <v>0</v>
      </c>
      <c r="G9" s="197">
        <f t="shared" si="0"/>
        <v>23821.000000000004</v>
      </c>
      <c r="H9" s="197">
        <f t="shared" si="0"/>
        <v>23821.000000000004</v>
      </c>
      <c r="I9" s="197">
        <f t="shared" si="0"/>
        <v>0</v>
      </c>
      <c r="J9" s="197">
        <f t="shared" si="0"/>
        <v>0</v>
      </c>
      <c r="K9" s="197">
        <f>G9/C9*100</f>
        <v>133.14515678273995</v>
      </c>
      <c r="L9" s="197">
        <f>H9/D9*100</f>
        <v>133.14515678273995</v>
      </c>
      <c r="M9" s="197"/>
      <c r="N9" s="197"/>
    </row>
    <row r="10" spans="1:14" ht="15">
      <c r="A10" s="157">
        <v>1</v>
      </c>
      <c r="B10" s="158" t="s">
        <v>150</v>
      </c>
      <c r="C10" s="198">
        <f>SUM(D10:F10)</f>
        <v>1142</v>
      </c>
      <c r="D10" s="198">
        <v>1142</v>
      </c>
      <c r="E10" s="198"/>
      <c r="F10" s="198"/>
      <c r="G10" s="198">
        <f>SUM(H10:J10)</f>
        <v>1421.2</v>
      </c>
      <c r="H10" s="198">
        <f>'B21'!D9</f>
        <v>1421.2</v>
      </c>
      <c r="I10" s="198">
        <f>'B21'!E9</f>
        <v>0</v>
      </c>
      <c r="J10" s="198">
        <f>'B21'!F9</f>
        <v>0</v>
      </c>
      <c r="K10" s="198">
        <f>G10/C10*100</f>
        <v>124.44833625218914</v>
      </c>
      <c r="L10" s="198">
        <f aca="true" t="shared" si="1" ref="L10:L25">H10/D10*100</f>
        <v>124.44833625218914</v>
      </c>
      <c r="M10" s="198"/>
      <c r="N10" s="198"/>
    </row>
    <row r="11" spans="1:14" ht="15">
      <c r="A11" s="157">
        <v>2</v>
      </c>
      <c r="B11" s="158" t="s">
        <v>151</v>
      </c>
      <c r="C11" s="198">
        <f aca="true" t="shared" si="2" ref="C11:C25">SUM(D11:F11)</f>
        <v>1356</v>
      </c>
      <c r="D11" s="198">
        <v>1356</v>
      </c>
      <c r="E11" s="198"/>
      <c r="F11" s="198"/>
      <c r="G11" s="198">
        <f aca="true" t="shared" si="3" ref="G11:G25">SUM(H11:J11)</f>
        <v>1600.9</v>
      </c>
      <c r="H11" s="198">
        <f>'B21'!D10</f>
        <v>1600.9</v>
      </c>
      <c r="I11" s="198">
        <f>'B21'!E10</f>
        <v>0</v>
      </c>
      <c r="J11" s="198">
        <f>'B21'!F10</f>
        <v>0</v>
      </c>
      <c r="K11" s="198">
        <f aca="true" t="shared" si="4" ref="K11:K25">G11/C11*100</f>
        <v>118.06047197640119</v>
      </c>
      <c r="L11" s="198">
        <f t="shared" si="1"/>
        <v>118.06047197640119</v>
      </c>
      <c r="M11" s="198"/>
      <c r="N11" s="198"/>
    </row>
    <row r="12" spans="1:14" ht="15">
      <c r="A12" s="157">
        <v>3</v>
      </c>
      <c r="B12" s="158" t="s">
        <v>152</v>
      </c>
      <c r="C12" s="198">
        <f t="shared" si="2"/>
        <v>1009</v>
      </c>
      <c r="D12" s="198">
        <v>1009</v>
      </c>
      <c r="E12" s="198"/>
      <c r="F12" s="198"/>
      <c r="G12" s="198">
        <f t="shared" si="3"/>
        <v>1469.0900000000001</v>
      </c>
      <c r="H12" s="198">
        <f>'B21'!D11</f>
        <v>1469.0900000000001</v>
      </c>
      <c r="I12" s="198">
        <f>'B21'!E11</f>
        <v>0</v>
      </c>
      <c r="J12" s="198">
        <f>'B21'!F11</f>
        <v>0</v>
      </c>
      <c r="K12" s="198">
        <f t="shared" si="4"/>
        <v>145.5986124876115</v>
      </c>
      <c r="L12" s="198">
        <f t="shared" si="1"/>
        <v>145.5986124876115</v>
      </c>
      <c r="M12" s="198"/>
      <c r="N12" s="198"/>
    </row>
    <row r="13" spans="1:14" ht="15">
      <c r="A13" s="157">
        <v>4</v>
      </c>
      <c r="B13" s="158" t="s">
        <v>153</v>
      </c>
      <c r="C13" s="198">
        <f t="shared" si="2"/>
        <v>1773</v>
      </c>
      <c r="D13" s="198">
        <v>1773</v>
      </c>
      <c r="E13" s="198"/>
      <c r="F13" s="198"/>
      <c r="G13" s="198">
        <f t="shared" si="3"/>
        <v>2322.7</v>
      </c>
      <c r="H13" s="198">
        <f>'B21'!D12</f>
        <v>2322.7</v>
      </c>
      <c r="I13" s="198">
        <f>'B21'!E12</f>
        <v>0</v>
      </c>
      <c r="J13" s="198">
        <f>'B21'!F12</f>
        <v>0</v>
      </c>
      <c r="K13" s="198">
        <f t="shared" si="4"/>
        <v>131.00394811054707</v>
      </c>
      <c r="L13" s="198">
        <f t="shared" si="1"/>
        <v>131.00394811054707</v>
      </c>
      <c r="M13" s="198"/>
      <c r="N13" s="198"/>
    </row>
    <row r="14" spans="1:14" ht="15">
      <c r="A14" s="157">
        <v>5</v>
      </c>
      <c r="B14" s="158" t="s">
        <v>154</v>
      </c>
      <c r="C14" s="198">
        <f t="shared" si="2"/>
        <v>1705</v>
      </c>
      <c r="D14" s="198">
        <v>1705</v>
      </c>
      <c r="E14" s="198"/>
      <c r="F14" s="198"/>
      <c r="G14" s="198">
        <f t="shared" si="3"/>
        <v>2747.7000000000003</v>
      </c>
      <c r="H14" s="198">
        <f>'B21'!D13</f>
        <v>2747.7000000000003</v>
      </c>
      <c r="I14" s="198">
        <f>'B21'!E13</f>
        <v>0</v>
      </c>
      <c r="J14" s="198">
        <f>'B21'!F13</f>
        <v>0</v>
      </c>
      <c r="K14" s="198">
        <f t="shared" si="4"/>
        <v>161.15542521994138</v>
      </c>
      <c r="L14" s="198">
        <f t="shared" si="1"/>
        <v>161.15542521994138</v>
      </c>
      <c r="M14" s="198"/>
      <c r="N14" s="198"/>
    </row>
    <row r="15" spans="1:14" ht="15">
      <c r="A15" s="157">
        <v>6</v>
      </c>
      <c r="B15" s="158" t="s">
        <v>155</v>
      </c>
      <c r="C15" s="198">
        <f t="shared" si="2"/>
        <v>1338</v>
      </c>
      <c r="D15" s="198">
        <v>1338</v>
      </c>
      <c r="E15" s="198"/>
      <c r="F15" s="198"/>
      <c r="G15" s="198">
        <f t="shared" si="3"/>
        <v>1677.4</v>
      </c>
      <c r="H15" s="198">
        <f>'B21'!D14</f>
        <v>1677.4</v>
      </c>
      <c r="I15" s="198">
        <f>'B21'!E14</f>
        <v>0</v>
      </c>
      <c r="J15" s="198">
        <f>'B21'!F14</f>
        <v>0</v>
      </c>
      <c r="K15" s="198">
        <f t="shared" si="4"/>
        <v>125.3662182361734</v>
      </c>
      <c r="L15" s="198">
        <f t="shared" si="1"/>
        <v>125.3662182361734</v>
      </c>
      <c r="M15" s="198"/>
      <c r="N15" s="198"/>
    </row>
    <row r="16" spans="1:14" ht="15">
      <c r="A16" s="157">
        <v>7</v>
      </c>
      <c r="B16" s="158" t="s">
        <v>156</v>
      </c>
      <c r="C16" s="198">
        <f t="shared" si="2"/>
        <v>2988</v>
      </c>
      <c r="D16" s="198">
        <v>2988</v>
      </c>
      <c r="E16" s="198"/>
      <c r="F16" s="198"/>
      <c r="G16" s="198">
        <f t="shared" si="3"/>
        <v>3420.3</v>
      </c>
      <c r="H16" s="198">
        <f>'B21'!D15</f>
        <v>3420.3</v>
      </c>
      <c r="I16" s="198">
        <f>'B21'!E15</f>
        <v>0</v>
      </c>
      <c r="J16" s="198">
        <f>'B21'!F15</f>
        <v>0</v>
      </c>
      <c r="K16" s="198">
        <f t="shared" si="4"/>
        <v>114.46787148594377</v>
      </c>
      <c r="L16" s="198">
        <f t="shared" si="1"/>
        <v>114.46787148594377</v>
      </c>
      <c r="M16" s="198"/>
      <c r="N16" s="198"/>
    </row>
    <row r="17" spans="1:14" ht="15">
      <c r="A17" s="157">
        <v>8</v>
      </c>
      <c r="B17" s="158" t="s">
        <v>157</v>
      </c>
      <c r="C17" s="198">
        <f t="shared" si="2"/>
        <v>332</v>
      </c>
      <c r="D17" s="198">
        <v>332</v>
      </c>
      <c r="E17" s="198"/>
      <c r="F17" s="198"/>
      <c r="G17" s="198">
        <f t="shared" si="3"/>
        <v>437.1</v>
      </c>
      <c r="H17" s="198">
        <f>'B21'!D16</f>
        <v>437.1</v>
      </c>
      <c r="I17" s="198">
        <f>'B21'!E16</f>
        <v>0</v>
      </c>
      <c r="J17" s="198">
        <f>'B21'!F16</f>
        <v>0</v>
      </c>
      <c r="K17" s="198">
        <f t="shared" si="4"/>
        <v>131.6566265060241</v>
      </c>
      <c r="L17" s="198">
        <f t="shared" si="1"/>
        <v>131.6566265060241</v>
      </c>
      <c r="M17" s="198"/>
      <c r="N17" s="198"/>
    </row>
    <row r="18" spans="1:14" ht="15">
      <c r="A18" s="157">
        <v>9</v>
      </c>
      <c r="B18" s="158" t="s">
        <v>158</v>
      </c>
      <c r="C18" s="198">
        <f t="shared" si="2"/>
        <v>755</v>
      </c>
      <c r="D18" s="198">
        <v>755</v>
      </c>
      <c r="E18" s="198"/>
      <c r="F18" s="198"/>
      <c r="G18" s="198">
        <f t="shared" si="3"/>
        <v>1215.73</v>
      </c>
      <c r="H18" s="198">
        <f>'B21'!D17</f>
        <v>1215.73</v>
      </c>
      <c r="I18" s="198">
        <f>'B21'!E17</f>
        <v>0</v>
      </c>
      <c r="J18" s="198">
        <f>'B21'!F17</f>
        <v>0</v>
      </c>
      <c r="K18" s="198">
        <f t="shared" si="4"/>
        <v>161.02384105960266</v>
      </c>
      <c r="L18" s="198">
        <f t="shared" si="1"/>
        <v>161.02384105960266</v>
      </c>
      <c r="M18" s="198"/>
      <c r="N18" s="198"/>
    </row>
    <row r="19" spans="1:14" ht="15">
      <c r="A19" s="157">
        <v>10</v>
      </c>
      <c r="B19" s="158" t="s">
        <v>159</v>
      </c>
      <c r="C19" s="198">
        <f t="shared" si="2"/>
        <v>527</v>
      </c>
      <c r="D19" s="198">
        <v>527</v>
      </c>
      <c r="E19" s="198"/>
      <c r="F19" s="198"/>
      <c r="G19" s="198">
        <f t="shared" si="3"/>
        <v>619.9</v>
      </c>
      <c r="H19" s="198">
        <f>'B21'!D18</f>
        <v>619.9</v>
      </c>
      <c r="I19" s="198">
        <f>'B21'!E18</f>
        <v>0</v>
      </c>
      <c r="J19" s="198">
        <f>'B21'!F18</f>
        <v>0</v>
      </c>
      <c r="K19" s="198">
        <f t="shared" si="4"/>
        <v>117.6280834914611</v>
      </c>
      <c r="L19" s="198">
        <f t="shared" si="1"/>
        <v>117.6280834914611</v>
      </c>
      <c r="M19" s="198"/>
      <c r="N19" s="198"/>
    </row>
    <row r="20" spans="1:14" ht="15">
      <c r="A20" s="157">
        <v>11</v>
      </c>
      <c r="B20" s="158" t="s">
        <v>160</v>
      </c>
      <c r="C20" s="198">
        <f t="shared" si="2"/>
        <v>472</v>
      </c>
      <c r="D20" s="198">
        <v>472</v>
      </c>
      <c r="E20" s="198"/>
      <c r="F20" s="198"/>
      <c r="G20" s="198">
        <f t="shared" si="3"/>
        <v>606.6500000000001</v>
      </c>
      <c r="H20" s="198">
        <f>'B21'!D19</f>
        <v>606.6500000000001</v>
      </c>
      <c r="I20" s="198">
        <f>'B21'!E19</f>
        <v>0</v>
      </c>
      <c r="J20" s="198">
        <f>'B21'!F19</f>
        <v>0</v>
      </c>
      <c r="K20" s="198">
        <f t="shared" si="4"/>
        <v>128.52754237288138</v>
      </c>
      <c r="L20" s="198">
        <f t="shared" si="1"/>
        <v>128.52754237288138</v>
      </c>
      <c r="M20" s="198"/>
      <c r="N20" s="198"/>
    </row>
    <row r="21" spans="1:14" ht="15">
      <c r="A21" s="157">
        <v>12</v>
      </c>
      <c r="B21" s="158" t="s">
        <v>161</v>
      </c>
      <c r="C21" s="198">
        <f t="shared" si="2"/>
        <v>666</v>
      </c>
      <c r="D21" s="198">
        <v>666</v>
      </c>
      <c r="E21" s="198"/>
      <c r="F21" s="198"/>
      <c r="G21" s="198">
        <f t="shared" si="3"/>
        <v>836.1700000000001</v>
      </c>
      <c r="H21" s="198">
        <f>'B21'!D20</f>
        <v>836.1700000000001</v>
      </c>
      <c r="I21" s="198">
        <f>'B21'!E20</f>
        <v>0</v>
      </c>
      <c r="J21" s="198">
        <f>'B21'!F20</f>
        <v>0</v>
      </c>
      <c r="K21" s="198">
        <f t="shared" si="4"/>
        <v>125.55105105105106</v>
      </c>
      <c r="L21" s="198">
        <f t="shared" si="1"/>
        <v>125.55105105105106</v>
      </c>
      <c r="M21" s="198"/>
      <c r="N21" s="198"/>
    </row>
    <row r="22" spans="1:14" ht="15">
      <c r="A22" s="157">
        <v>13</v>
      </c>
      <c r="B22" s="158" t="s">
        <v>162</v>
      </c>
      <c r="C22" s="198">
        <f t="shared" si="2"/>
        <v>497</v>
      </c>
      <c r="D22" s="198">
        <v>497</v>
      </c>
      <c r="E22" s="198"/>
      <c r="F22" s="198"/>
      <c r="G22" s="198">
        <f t="shared" si="3"/>
        <v>1028.4</v>
      </c>
      <c r="H22" s="198">
        <f>'B21'!D21</f>
        <v>1028.4</v>
      </c>
      <c r="I22" s="198">
        <f>'B21'!E21</f>
        <v>0</v>
      </c>
      <c r="J22" s="198">
        <f>'B21'!F21</f>
        <v>0</v>
      </c>
      <c r="K22" s="198">
        <f t="shared" si="4"/>
        <v>206.92152917505032</v>
      </c>
      <c r="L22" s="198">
        <f t="shared" si="1"/>
        <v>206.92152917505032</v>
      </c>
      <c r="M22" s="198"/>
      <c r="N22" s="198"/>
    </row>
    <row r="23" spans="1:14" ht="15">
      <c r="A23" s="157">
        <v>14</v>
      </c>
      <c r="B23" s="158" t="s">
        <v>163</v>
      </c>
      <c r="C23" s="198">
        <f t="shared" si="2"/>
        <v>581</v>
      </c>
      <c r="D23" s="198">
        <v>581</v>
      </c>
      <c r="E23" s="198"/>
      <c r="F23" s="198"/>
      <c r="G23" s="198">
        <f t="shared" si="3"/>
        <v>1005.6</v>
      </c>
      <c r="H23" s="198">
        <f>'B21'!D22</f>
        <v>1005.6</v>
      </c>
      <c r="I23" s="198">
        <f>'B21'!E22</f>
        <v>0</v>
      </c>
      <c r="J23" s="198">
        <f>'B21'!F22</f>
        <v>0</v>
      </c>
      <c r="K23" s="198">
        <f t="shared" si="4"/>
        <v>173.08089500860586</v>
      </c>
      <c r="L23" s="198">
        <f t="shared" si="1"/>
        <v>173.08089500860586</v>
      </c>
      <c r="M23" s="198"/>
      <c r="N23" s="198"/>
    </row>
    <row r="24" spans="1:14" ht="15">
      <c r="A24" s="157">
        <v>15</v>
      </c>
      <c r="B24" s="158" t="s">
        <v>164</v>
      </c>
      <c r="C24" s="198">
        <f t="shared" si="2"/>
        <v>977</v>
      </c>
      <c r="D24" s="198">
        <v>977</v>
      </c>
      <c r="E24" s="198"/>
      <c r="F24" s="198"/>
      <c r="G24" s="198">
        <f t="shared" si="3"/>
        <v>1355.5</v>
      </c>
      <c r="H24" s="198">
        <f>'B21'!D23</f>
        <v>1355.5</v>
      </c>
      <c r="I24" s="198">
        <f>'B21'!E23</f>
        <v>0</v>
      </c>
      <c r="J24" s="198">
        <f>'B21'!F23</f>
        <v>0</v>
      </c>
      <c r="K24" s="198">
        <f t="shared" si="4"/>
        <v>138.7410440122825</v>
      </c>
      <c r="L24" s="198">
        <f t="shared" si="1"/>
        <v>138.7410440122825</v>
      </c>
      <c r="M24" s="198"/>
      <c r="N24" s="198"/>
    </row>
    <row r="25" spans="1:14" ht="15">
      <c r="A25" s="153">
        <v>16</v>
      </c>
      <c r="B25" s="154" t="s">
        <v>165</v>
      </c>
      <c r="C25" s="196">
        <f t="shared" si="2"/>
        <v>1773</v>
      </c>
      <c r="D25" s="196">
        <v>1773</v>
      </c>
      <c r="E25" s="196"/>
      <c r="F25" s="196"/>
      <c r="G25" s="196">
        <f t="shared" si="3"/>
        <v>2056.66</v>
      </c>
      <c r="H25" s="196">
        <f>'B21'!D24</f>
        <v>2056.66</v>
      </c>
      <c r="I25" s="196">
        <f>'B21'!E24</f>
        <v>0</v>
      </c>
      <c r="J25" s="196">
        <f>'B21'!F24</f>
        <v>0</v>
      </c>
      <c r="K25" s="196">
        <f t="shared" si="4"/>
        <v>115.99887196841512</v>
      </c>
      <c r="L25" s="196">
        <f t="shared" si="1"/>
        <v>115.99887196841512</v>
      </c>
      <c r="M25" s="196"/>
      <c r="N25" s="196"/>
    </row>
    <row r="26" ht="15">
      <c r="A26" s="132"/>
    </row>
    <row r="27" spans="1:14" s="149" customFormat="1" ht="15">
      <c r="A27" s="471"/>
      <c r="B27" s="471"/>
      <c r="C27" s="471"/>
      <c r="D27" s="471"/>
      <c r="E27" s="471"/>
      <c r="F27" s="471"/>
      <c r="G27" s="471"/>
      <c r="H27" s="471"/>
      <c r="I27" s="471"/>
      <c r="J27" s="471"/>
      <c r="K27" s="471"/>
      <c r="L27" s="471"/>
      <c r="M27" s="471"/>
      <c r="N27" s="471"/>
    </row>
    <row r="28" spans="1:14" s="149" customFormat="1" ht="15">
      <c r="A28" s="471"/>
      <c r="B28" s="471"/>
      <c r="C28" s="471"/>
      <c r="D28" s="471"/>
      <c r="E28" s="471"/>
      <c r="F28" s="471"/>
      <c r="G28" s="471"/>
      <c r="H28" s="471"/>
      <c r="I28" s="471"/>
      <c r="J28" s="471"/>
      <c r="K28" s="471"/>
      <c r="L28" s="471"/>
      <c r="M28" s="471"/>
      <c r="N28" s="471"/>
    </row>
  </sheetData>
  <sheetProtection/>
  <mergeCells count="17">
    <mergeCell ref="A1:N1"/>
    <mergeCell ref="A2:N2"/>
    <mergeCell ref="A3:N3"/>
    <mergeCell ref="L4:N4"/>
    <mergeCell ref="A5:A7"/>
    <mergeCell ref="B5:B7"/>
    <mergeCell ref="C5:F5"/>
    <mergeCell ref="G5:J5"/>
    <mergeCell ref="K5:N5"/>
    <mergeCell ref="C6:C7"/>
    <mergeCell ref="A28:N28"/>
    <mergeCell ref="D6:F6"/>
    <mergeCell ref="G6:G7"/>
    <mergeCell ref="H6:J6"/>
    <mergeCell ref="K6:K7"/>
    <mergeCell ref="L6:N6"/>
    <mergeCell ref="A27:N27"/>
  </mergeCells>
  <printOptions horizontalCentered="1"/>
  <pageMargins left="0.6" right="0.6"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R27"/>
  <sheetViews>
    <sheetView showZeros="0" zoomScale="120" zoomScaleNormal="120" zoomScalePageLayoutView="0" workbookViewId="0" topLeftCell="A1">
      <selection activeCell="A1" sqref="A1"/>
    </sheetView>
  </sheetViews>
  <sheetFormatPr defaultColWidth="9.140625" defaultRowHeight="14.25" customHeight="1"/>
  <cols>
    <col min="1" max="1" width="6.140625" style="128" customWidth="1"/>
    <col min="2" max="2" width="23.00390625" style="128" customWidth="1"/>
    <col min="3" max="10" width="10.28125" style="128" customWidth="1"/>
    <col min="11" max="12" width="9.140625" style="128" customWidth="1"/>
    <col min="13" max="18" width="0" style="128" hidden="1" customWidth="1"/>
    <col min="19" max="16384" width="9.140625" style="128" customWidth="1"/>
  </cols>
  <sheetData>
    <row r="1" spans="1:18" ht="14.25" customHeight="1">
      <c r="A1" s="152"/>
      <c r="B1" s="152"/>
      <c r="C1" s="152"/>
      <c r="D1" s="152"/>
      <c r="E1" s="152"/>
      <c r="F1" s="152"/>
      <c r="G1" s="152"/>
      <c r="H1" s="152"/>
      <c r="I1" s="152"/>
      <c r="J1" s="152"/>
      <c r="K1" s="152"/>
      <c r="L1" s="152" t="s">
        <v>139</v>
      </c>
      <c r="M1" s="152"/>
      <c r="N1" s="152"/>
      <c r="O1" s="152"/>
      <c r="P1" s="152"/>
      <c r="Q1" s="152"/>
      <c r="R1" s="152"/>
    </row>
    <row r="2" spans="1:18" ht="36.75" customHeight="1">
      <c r="A2" s="438" t="s">
        <v>460</v>
      </c>
      <c r="B2" s="438"/>
      <c r="C2" s="438"/>
      <c r="D2" s="438"/>
      <c r="E2" s="438"/>
      <c r="F2" s="438"/>
      <c r="G2" s="438"/>
      <c r="H2" s="438"/>
      <c r="I2" s="438"/>
      <c r="J2" s="438"/>
      <c r="K2" s="438"/>
      <c r="L2" s="438"/>
      <c r="M2" s="438"/>
      <c r="N2" s="438"/>
      <c r="O2" s="438"/>
      <c r="P2" s="438"/>
      <c r="Q2" s="438"/>
      <c r="R2" s="438"/>
    </row>
    <row r="3" spans="1:18" ht="18.75" customHeight="1">
      <c r="A3" s="434"/>
      <c r="B3" s="434"/>
      <c r="C3" s="434"/>
      <c r="D3" s="434"/>
      <c r="E3" s="434"/>
      <c r="F3" s="434"/>
      <c r="G3" s="434"/>
      <c r="H3" s="434"/>
      <c r="I3" s="434"/>
      <c r="J3" s="434"/>
      <c r="K3" s="434"/>
      <c r="L3" s="434"/>
      <c r="M3" s="434"/>
      <c r="N3" s="434"/>
      <c r="O3" s="434"/>
      <c r="P3" s="434"/>
      <c r="Q3" s="434"/>
      <c r="R3" s="434"/>
    </row>
    <row r="4" spans="12:18" ht="14.25" customHeight="1">
      <c r="L4" s="151" t="s">
        <v>10</v>
      </c>
      <c r="P4" s="479"/>
      <c r="Q4" s="479"/>
      <c r="R4" s="479"/>
    </row>
    <row r="5" spans="1:18" ht="14.25" customHeight="1">
      <c r="A5" s="476" t="s">
        <v>0</v>
      </c>
      <c r="B5" s="476" t="s">
        <v>173</v>
      </c>
      <c r="C5" s="476" t="s">
        <v>140</v>
      </c>
      <c r="D5" s="476" t="s">
        <v>166</v>
      </c>
      <c r="E5" s="476" t="s">
        <v>131</v>
      </c>
      <c r="F5" s="476"/>
      <c r="G5" s="476"/>
      <c r="H5" s="476"/>
      <c r="I5" s="476"/>
      <c r="J5" s="476"/>
      <c r="K5" s="476" t="s">
        <v>167</v>
      </c>
      <c r="L5" s="476" t="s">
        <v>168</v>
      </c>
      <c r="M5" s="477" t="s">
        <v>131</v>
      </c>
      <c r="N5" s="477"/>
      <c r="O5" s="477"/>
      <c r="P5" s="477"/>
      <c r="Q5" s="477"/>
      <c r="R5" s="477"/>
    </row>
    <row r="6" spans="1:18" ht="96" customHeight="1">
      <c r="A6" s="476"/>
      <c r="B6" s="476"/>
      <c r="C6" s="476"/>
      <c r="D6" s="476"/>
      <c r="E6" s="359" t="s">
        <v>141</v>
      </c>
      <c r="F6" s="359" t="s">
        <v>142</v>
      </c>
      <c r="G6" s="359" t="s">
        <v>169</v>
      </c>
      <c r="H6" s="359" t="s">
        <v>170</v>
      </c>
      <c r="I6" s="359" t="s">
        <v>171</v>
      </c>
      <c r="J6" s="359" t="s">
        <v>172</v>
      </c>
      <c r="K6" s="476"/>
      <c r="L6" s="476">
        <v>-3</v>
      </c>
      <c r="M6" s="360" t="s">
        <v>143</v>
      </c>
      <c r="N6" s="360" t="s">
        <v>144</v>
      </c>
      <c r="O6" s="360" t="s">
        <v>145</v>
      </c>
      <c r="P6" s="360" t="s">
        <v>146</v>
      </c>
      <c r="Q6" s="360" t="s">
        <v>147</v>
      </c>
      <c r="R6" s="360" t="s">
        <v>148</v>
      </c>
    </row>
    <row r="7" spans="1:18" ht="15">
      <c r="A7" s="130" t="s">
        <v>1</v>
      </c>
      <c r="B7" s="130" t="s">
        <v>6</v>
      </c>
      <c r="C7" s="203" t="s">
        <v>174</v>
      </c>
      <c r="D7" s="203" t="s">
        <v>175</v>
      </c>
      <c r="E7" s="203" t="s">
        <v>53</v>
      </c>
      <c r="F7" s="203" t="s">
        <v>54</v>
      </c>
      <c r="G7" s="203" t="s">
        <v>299</v>
      </c>
      <c r="H7" s="203" t="s">
        <v>300</v>
      </c>
      <c r="I7" s="203" t="s">
        <v>301</v>
      </c>
      <c r="J7" s="203" t="s">
        <v>302</v>
      </c>
      <c r="K7" s="203" t="s">
        <v>303</v>
      </c>
      <c r="L7" s="203" t="s">
        <v>304</v>
      </c>
      <c r="M7" s="130">
        <v>8</v>
      </c>
      <c r="N7" s="130">
        <v>9</v>
      </c>
      <c r="O7" s="130">
        <v>10</v>
      </c>
      <c r="P7" s="130">
        <v>11</v>
      </c>
      <c r="Q7" s="130">
        <v>12</v>
      </c>
      <c r="R7" s="130">
        <v>13</v>
      </c>
    </row>
    <row r="8" spans="1:18" ht="15">
      <c r="A8" s="155"/>
      <c r="B8" s="156" t="s">
        <v>149</v>
      </c>
      <c r="C8" s="197">
        <f>SUM(C9:C24)</f>
        <v>23821.000000000004</v>
      </c>
      <c r="D8" s="197">
        <f aca="true" t="shared" si="0" ref="D8:L8">SUM(D9:D24)</f>
        <v>23821.000000000004</v>
      </c>
      <c r="E8" s="197">
        <f t="shared" si="0"/>
        <v>0</v>
      </c>
      <c r="F8" s="197">
        <f t="shared" si="0"/>
        <v>0</v>
      </c>
      <c r="G8" s="197">
        <f t="shared" si="0"/>
        <v>11000.000000000002</v>
      </c>
      <c r="H8" s="197">
        <f t="shared" si="0"/>
        <v>4138</v>
      </c>
      <c r="I8" s="197">
        <f t="shared" si="0"/>
        <v>4389.000000000001</v>
      </c>
      <c r="J8" s="197">
        <f t="shared" si="0"/>
        <v>4294</v>
      </c>
      <c r="K8" s="197">
        <f t="shared" si="0"/>
        <v>0</v>
      </c>
      <c r="L8" s="197">
        <f t="shared" si="0"/>
        <v>0</v>
      </c>
      <c r="M8" s="131"/>
      <c r="N8" s="131"/>
      <c r="O8" s="131"/>
      <c r="P8" s="131"/>
      <c r="Q8" s="131"/>
      <c r="R8" s="131"/>
    </row>
    <row r="9" spans="1:18" ht="15">
      <c r="A9" s="157">
        <v>1</v>
      </c>
      <c r="B9" s="158" t="s">
        <v>150</v>
      </c>
      <c r="C9" s="198">
        <f>SUM(D9,K9:L9)</f>
        <v>1421.2</v>
      </c>
      <c r="D9" s="198">
        <f>SUM(E9:J9)</f>
        <v>1421.2</v>
      </c>
      <c r="E9" s="198"/>
      <c r="F9" s="198"/>
      <c r="G9" s="198">
        <v>842</v>
      </c>
      <c r="H9" s="198">
        <v>352</v>
      </c>
      <c r="I9" s="198">
        <v>149.2</v>
      </c>
      <c r="J9" s="198">
        <v>78</v>
      </c>
      <c r="K9" s="198"/>
      <c r="L9" s="198"/>
      <c r="M9" s="131"/>
      <c r="N9" s="131"/>
      <c r="O9" s="131"/>
      <c r="P9" s="131"/>
      <c r="Q9" s="131"/>
      <c r="R9" s="131"/>
    </row>
    <row r="10" spans="1:18" ht="15">
      <c r="A10" s="157">
        <v>2</v>
      </c>
      <c r="B10" s="158" t="s">
        <v>151</v>
      </c>
      <c r="C10" s="198">
        <f aca="true" t="shared" si="1" ref="C10:C24">SUM(D10,K10:L10)</f>
        <v>1600.9</v>
      </c>
      <c r="D10" s="198">
        <f aca="true" t="shared" si="2" ref="D10:D24">SUM(E10:J10)</f>
        <v>1600.9</v>
      </c>
      <c r="E10" s="198"/>
      <c r="F10" s="198"/>
      <c r="G10" s="198">
        <v>779.9</v>
      </c>
      <c r="H10" s="198">
        <v>220</v>
      </c>
      <c r="I10" s="198">
        <v>316</v>
      </c>
      <c r="J10" s="198">
        <v>285</v>
      </c>
      <c r="K10" s="198"/>
      <c r="L10" s="198"/>
      <c r="M10" s="131"/>
      <c r="N10" s="131"/>
      <c r="O10" s="131"/>
      <c r="P10" s="131"/>
      <c r="Q10" s="131"/>
      <c r="R10" s="131"/>
    </row>
    <row r="11" spans="1:18" ht="15">
      <c r="A11" s="157">
        <v>3</v>
      </c>
      <c r="B11" s="158" t="s">
        <v>152</v>
      </c>
      <c r="C11" s="198">
        <f t="shared" si="1"/>
        <v>1469.0900000000001</v>
      </c>
      <c r="D11" s="198">
        <f t="shared" si="2"/>
        <v>1469.0900000000001</v>
      </c>
      <c r="E11" s="198"/>
      <c r="F11" s="198"/>
      <c r="G11" s="198">
        <v>478.69</v>
      </c>
      <c r="H11" s="198">
        <v>444</v>
      </c>
      <c r="I11" s="198">
        <v>133.4</v>
      </c>
      <c r="J11" s="198">
        <v>413</v>
      </c>
      <c r="K11" s="198"/>
      <c r="L11" s="198"/>
      <c r="M11" s="131"/>
      <c r="N11" s="131"/>
      <c r="O11" s="131"/>
      <c r="P11" s="131"/>
      <c r="Q11" s="131"/>
      <c r="R11" s="131"/>
    </row>
    <row r="12" spans="1:18" ht="15">
      <c r="A12" s="157">
        <v>4</v>
      </c>
      <c r="B12" s="158" t="s">
        <v>153</v>
      </c>
      <c r="C12" s="198">
        <f t="shared" si="1"/>
        <v>2322.7</v>
      </c>
      <c r="D12" s="198">
        <f t="shared" si="2"/>
        <v>2322.7</v>
      </c>
      <c r="E12" s="198"/>
      <c r="F12" s="198"/>
      <c r="G12" s="198">
        <v>1271.2</v>
      </c>
      <c r="H12" s="198">
        <v>564</v>
      </c>
      <c r="I12" s="198">
        <v>364.5</v>
      </c>
      <c r="J12" s="198">
        <v>123</v>
      </c>
      <c r="K12" s="198"/>
      <c r="L12" s="198"/>
      <c r="M12" s="131"/>
      <c r="N12" s="131"/>
      <c r="O12" s="131"/>
      <c r="P12" s="131"/>
      <c r="Q12" s="131"/>
      <c r="R12" s="131"/>
    </row>
    <row r="13" spans="1:18" ht="15">
      <c r="A13" s="157">
        <v>5</v>
      </c>
      <c r="B13" s="158" t="s">
        <v>154</v>
      </c>
      <c r="C13" s="198">
        <f t="shared" si="1"/>
        <v>2747.7000000000003</v>
      </c>
      <c r="D13" s="198">
        <f t="shared" si="2"/>
        <v>2747.7000000000003</v>
      </c>
      <c r="E13" s="198"/>
      <c r="F13" s="198"/>
      <c r="G13" s="198">
        <v>1137.4</v>
      </c>
      <c r="H13" s="198">
        <v>446</v>
      </c>
      <c r="I13" s="198">
        <v>491.3</v>
      </c>
      <c r="J13" s="198">
        <v>673</v>
      </c>
      <c r="K13" s="198"/>
      <c r="L13" s="198"/>
      <c r="M13" s="131"/>
      <c r="N13" s="131"/>
      <c r="O13" s="131"/>
      <c r="P13" s="131"/>
      <c r="Q13" s="131"/>
      <c r="R13" s="131"/>
    </row>
    <row r="14" spans="1:18" ht="15">
      <c r="A14" s="157">
        <v>6</v>
      </c>
      <c r="B14" s="158" t="s">
        <v>155</v>
      </c>
      <c r="C14" s="198">
        <f t="shared" si="1"/>
        <v>1677.4</v>
      </c>
      <c r="D14" s="198">
        <f t="shared" si="2"/>
        <v>1677.4</v>
      </c>
      <c r="E14" s="198"/>
      <c r="F14" s="198"/>
      <c r="G14" s="198">
        <v>1048.5</v>
      </c>
      <c r="H14" s="198">
        <v>186</v>
      </c>
      <c r="I14" s="198">
        <v>191.9</v>
      </c>
      <c r="J14" s="198">
        <v>251</v>
      </c>
      <c r="K14" s="198"/>
      <c r="L14" s="198"/>
      <c r="M14" s="131"/>
      <c r="N14" s="131"/>
      <c r="O14" s="131"/>
      <c r="P14" s="131"/>
      <c r="Q14" s="131"/>
      <c r="R14" s="131"/>
    </row>
    <row r="15" spans="1:18" ht="15">
      <c r="A15" s="157">
        <v>7</v>
      </c>
      <c r="B15" s="158" t="s">
        <v>156</v>
      </c>
      <c r="C15" s="198">
        <f t="shared" si="1"/>
        <v>3420.3</v>
      </c>
      <c r="D15" s="198">
        <f t="shared" si="2"/>
        <v>3420.3</v>
      </c>
      <c r="E15" s="198"/>
      <c r="F15" s="198"/>
      <c r="G15" s="198">
        <v>1494.3</v>
      </c>
      <c r="H15" s="198">
        <v>220</v>
      </c>
      <c r="I15" s="198">
        <v>1440</v>
      </c>
      <c r="J15" s="198">
        <v>266</v>
      </c>
      <c r="K15" s="198"/>
      <c r="L15" s="198"/>
      <c r="M15" s="131"/>
      <c r="N15" s="131"/>
      <c r="O15" s="131"/>
      <c r="P15" s="131"/>
      <c r="Q15" s="131"/>
      <c r="R15" s="131"/>
    </row>
    <row r="16" spans="1:18" ht="15">
      <c r="A16" s="157">
        <v>8</v>
      </c>
      <c r="B16" s="158" t="s">
        <v>157</v>
      </c>
      <c r="C16" s="198">
        <f t="shared" si="1"/>
        <v>437.1</v>
      </c>
      <c r="D16" s="198">
        <f t="shared" si="2"/>
        <v>437.1</v>
      </c>
      <c r="E16" s="198"/>
      <c r="F16" s="198"/>
      <c r="G16" s="198">
        <v>206</v>
      </c>
      <c r="H16" s="198">
        <v>143</v>
      </c>
      <c r="I16" s="198">
        <v>73.1</v>
      </c>
      <c r="J16" s="198">
        <v>15</v>
      </c>
      <c r="K16" s="198"/>
      <c r="L16" s="198"/>
      <c r="M16" s="131"/>
      <c r="N16" s="131"/>
      <c r="O16" s="131"/>
      <c r="P16" s="131"/>
      <c r="Q16" s="131"/>
      <c r="R16" s="131"/>
    </row>
    <row r="17" spans="1:18" ht="15">
      <c r="A17" s="157">
        <v>9</v>
      </c>
      <c r="B17" s="158" t="s">
        <v>158</v>
      </c>
      <c r="C17" s="198">
        <f t="shared" si="1"/>
        <v>1215.73</v>
      </c>
      <c r="D17" s="198">
        <f t="shared" si="2"/>
        <v>1215.73</v>
      </c>
      <c r="E17" s="198"/>
      <c r="F17" s="198"/>
      <c r="G17" s="198">
        <v>494.43</v>
      </c>
      <c r="H17" s="198">
        <v>215</v>
      </c>
      <c r="I17" s="198">
        <v>145.3</v>
      </c>
      <c r="J17" s="198">
        <v>361</v>
      </c>
      <c r="K17" s="198"/>
      <c r="L17" s="198"/>
      <c r="M17" s="131"/>
      <c r="N17" s="131"/>
      <c r="O17" s="131"/>
      <c r="P17" s="131"/>
      <c r="Q17" s="131"/>
      <c r="R17" s="131"/>
    </row>
    <row r="18" spans="1:18" ht="15">
      <c r="A18" s="157">
        <v>10</v>
      </c>
      <c r="B18" s="158" t="s">
        <v>159</v>
      </c>
      <c r="C18" s="198">
        <f t="shared" si="1"/>
        <v>619.9</v>
      </c>
      <c r="D18" s="198">
        <f t="shared" si="2"/>
        <v>619.9</v>
      </c>
      <c r="E18" s="198"/>
      <c r="F18" s="198"/>
      <c r="G18" s="198">
        <v>256.9</v>
      </c>
      <c r="H18" s="198">
        <v>188</v>
      </c>
      <c r="I18" s="198">
        <v>120</v>
      </c>
      <c r="J18" s="198">
        <v>55</v>
      </c>
      <c r="K18" s="198"/>
      <c r="L18" s="198"/>
      <c r="M18" s="131"/>
      <c r="N18" s="131"/>
      <c r="O18" s="131"/>
      <c r="P18" s="131"/>
      <c r="Q18" s="131"/>
      <c r="R18" s="131"/>
    </row>
    <row r="19" spans="1:18" ht="15">
      <c r="A19" s="157">
        <v>11</v>
      </c>
      <c r="B19" s="158" t="s">
        <v>160</v>
      </c>
      <c r="C19" s="198">
        <f t="shared" si="1"/>
        <v>606.6500000000001</v>
      </c>
      <c r="D19" s="198">
        <f t="shared" si="2"/>
        <v>606.6500000000001</v>
      </c>
      <c r="E19" s="198"/>
      <c r="F19" s="198"/>
      <c r="G19" s="198">
        <v>318.85</v>
      </c>
      <c r="H19" s="198">
        <v>96</v>
      </c>
      <c r="I19" s="198">
        <v>153.8</v>
      </c>
      <c r="J19" s="198">
        <v>38</v>
      </c>
      <c r="K19" s="198"/>
      <c r="L19" s="198"/>
      <c r="M19" s="131"/>
      <c r="N19" s="131"/>
      <c r="O19" s="131"/>
      <c r="P19" s="131"/>
      <c r="Q19" s="131"/>
      <c r="R19" s="131"/>
    </row>
    <row r="20" spans="1:18" ht="15">
      <c r="A20" s="157">
        <v>12</v>
      </c>
      <c r="B20" s="158" t="s">
        <v>161</v>
      </c>
      <c r="C20" s="198">
        <f t="shared" si="1"/>
        <v>836.1700000000001</v>
      </c>
      <c r="D20" s="198">
        <f t="shared" si="2"/>
        <v>836.1700000000001</v>
      </c>
      <c r="E20" s="198"/>
      <c r="F20" s="198"/>
      <c r="G20" s="198">
        <v>352.17</v>
      </c>
      <c r="H20" s="198">
        <v>204</v>
      </c>
      <c r="I20" s="198">
        <v>181</v>
      </c>
      <c r="J20" s="198">
        <v>99</v>
      </c>
      <c r="K20" s="198"/>
      <c r="L20" s="198"/>
      <c r="M20" s="131"/>
      <c r="N20" s="131"/>
      <c r="O20" s="131"/>
      <c r="P20" s="131"/>
      <c r="Q20" s="131"/>
      <c r="R20" s="131"/>
    </row>
    <row r="21" spans="1:18" ht="15">
      <c r="A21" s="157">
        <v>13</v>
      </c>
      <c r="B21" s="158" t="s">
        <v>162</v>
      </c>
      <c r="C21" s="198">
        <f t="shared" si="1"/>
        <v>1028.4</v>
      </c>
      <c r="D21" s="198">
        <f t="shared" si="2"/>
        <v>1028.4</v>
      </c>
      <c r="E21" s="198"/>
      <c r="F21" s="198"/>
      <c r="G21" s="198">
        <v>295</v>
      </c>
      <c r="H21" s="198">
        <v>127</v>
      </c>
      <c r="I21" s="198">
        <v>162.4</v>
      </c>
      <c r="J21" s="198">
        <v>444</v>
      </c>
      <c r="K21" s="198"/>
      <c r="L21" s="198"/>
      <c r="M21" s="131"/>
      <c r="N21" s="131"/>
      <c r="O21" s="131"/>
      <c r="P21" s="131"/>
      <c r="Q21" s="131"/>
      <c r="R21" s="131"/>
    </row>
    <row r="22" spans="1:18" ht="15">
      <c r="A22" s="157">
        <v>14</v>
      </c>
      <c r="B22" s="158" t="s">
        <v>163</v>
      </c>
      <c r="C22" s="198">
        <f t="shared" si="1"/>
        <v>1005.6</v>
      </c>
      <c r="D22" s="198">
        <f t="shared" si="2"/>
        <v>1005.6</v>
      </c>
      <c r="E22" s="198"/>
      <c r="F22" s="198"/>
      <c r="G22" s="198">
        <v>172.6</v>
      </c>
      <c r="H22" s="198">
        <v>167</v>
      </c>
      <c r="I22" s="198">
        <v>69</v>
      </c>
      <c r="J22" s="198">
        <v>597</v>
      </c>
      <c r="K22" s="198"/>
      <c r="L22" s="198"/>
      <c r="M22" s="131"/>
      <c r="N22" s="131"/>
      <c r="O22" s="131"/>
      <c r="P22" s="131"/>
      <c r="Q22" s="131"/>
      <c r="R22" s="131"/>
    </row>
    <row r="23" spans="1:18" ht="15">
      <c r="A23" s="157">
        <v>15</v>
      </c>
      <c r="B23" s="158" t="s">
        <v>164</v>
      </c>
      <c r="C23" s="198">
        <f t="shared" si="1"/>
        <v>1355.5</v>
      </c>
      <c r="D23" s="198">
        <f t="shared" si="2"/>
        <v>1355.5</v>
      </c>
      <c r="E23" s="198"/>
      <c r="F23" s="198"/>
      <c r="G23" s="198">
        <v>568.2</v>
      </c>
      <c r="H23" s="198">
        <v>350</v>
      </c>
      <c r="I23" s="198">
        <v>124.3</v>
      </c>
      <c r="J23" s="198">
        <v>313</v>
      </c>
      <c r="K23" s="198"/>
      <c r="L23" s="198"/>
      <c r="M23" s="131"/>
      <c r="N23" s="131"/>
      <c r="O23" s="131"/>
      <c r="P23" s="131"/>
      <c r="Q23" s="131"/>
      <c r="R23" s="131"/>
    </row>
    <row r="24" spans="1:18" ht="15">
      <c r="A24" s="153">
        <v>16</v>
      </c>
      <c r="B24" s="154" t="s">
        <v>165</v>
      </c>
      <c r="C24" s="196">
        <f t="shared" si="1"/>
        <v>2056.66</v>
      </c>
      <c r="D24" s="196">
        <f t="shared" si="2"/>
        <v>2056.66</v>
      </c>
      <c r="E24" s="196"/>
      <c r="F24" s="196"/>
      <c r="G24" s="196">
        <v>1283.86</v>
      </c>
      <c r="H24" s="196">
        <v>216</v>
      </c>
      <c r="I24" s="196">
        <v>273.8</v>
      </c>
      <c r="J24" s="196">
        <v>283</v>
      </c>
      <c r="K24" s="196"/>
      <c r="L24" s="196"/>
      <c r="M24" s="131"/>
      <c r="N24" s="131"/>
      <c r="O24" s="131"/>
      <c r="P24" s="131"/>
      <c r="Q24" s="131"/>
      <c r="R24" s="131"/>
    </row>
    <row r="25" ht="14.25" customHeight="1">
      <c r="A25" s="132"/>
    </row>
    <row r="26" ht="14.25" customHeight="1">
      <c r="A26" s="150"/>
    </row>
    <row r="27" ht="14.25" customHeight="1">
      <c r="A27" s="150"/>
    </row>
  </sheetData>
  <sheetProtection/>
  <mergeCells count="11">
    <mergeCell ref="L5:L6"/>
    <mergeCell ref="M5:R5"/>
    <mergeCell ref="A2:R2"/>
    <mergeCell ref="A3:R3"/>
    <mergeCell ref="P4:R4"/>
    <mergeCell ref="A5:A6"/>
    <mergeCell ref="B5:B6"/>
    <mergeCell ref="C5:C6"/>
    <mergeCell ref="D5:D6"/>
    <mergeCell ref="E5:J5"/>
    <mergeCell ref="K5:K6"/>
  </mergeCells>
  <printOptions horizontalCentered="1"/>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K33"/>
  <sheetViews>
    <sheetView showZeros="0" zoomScale="110" zoomScaleNormal="110" zoomScalePageLayoutView="0" workbookViewId="0" topLeftCell="A1">
      <selection activeCell="A1" sqref="A1"/>
    </sheetView>
  </sheetViews>
  <sheetFormatPr defaultColWidth="9.140625" defaultRowHeight="15"/>
  <cols>
    <col min="1" max="1" width="5.28125" style="244" customWidth="1"/>
    <col min="2" max="2" width="45.57421875" style="244" customWidth="1"/>
    <col min="3" max="8" width="10.421875" style="244" customWidth="1"/>
    <col min="9" max="10" width="10.140625" style="244" customWidth="1"/>
    <col min="11" max="11" width="8.7109375" style="244" customWidth="1"/>
    <col min="12" max="16384" width="9.140625" style="244" customWidth="1"/>
  </cols>
  <sheetData>
    <row r="1" spans="1:11" ht="15.75">
      <c r="A1" s="243"/>
      <c r="J1" s="480" t="s">
        <v>176</v>
      </c>
      <c r="K1" s="480"/>
    </row>
    <row r="2" spans="1:11" ht="38.25" customHeight="1">
      <c r="A2" s="438" t="s">
        <v>461</v>
      </c>
      <c r="B2" s="438"/>
      <c r="C2" s="438"/>
      <c r="D2" s="438"/>
      <c r="E2" s="438"/>
      <c r="F2" s="438"/>
      <c r="G2" s="438"/>
      <c r="H2" s="438"/>
      <c r="I2" s="438"/>
      <c r="J2" s="438"/>
      <c r="K2" s="438"/>
    </row>
    <row r="3" ht="15.75">
      <c r="K3" s="245" t="s">
        <v>10</v>
      </c>
    </row>
    <row r="4" spans="1:11" ht="15.75">
      <c r="A4" s="439" t="s">
        <v>0</v>
      </c>
      <c r="B4" s="439" t="s">
        <v>9</v>
      </c>
      <c r="C4" s="439" t="s">
        <v>434</v>
      </c>
      <c r="D4" s="439" t="s">
        <v>131</v>
      </c>
      <c r="E4" s="439"/>
      <c r="F4" s="439" t="s">
        <v>449</v>
      </c>
      <c r="G4" s="439" t="s">
        <v>131</v>
      </c>
      <c r="H4" s="439"/>
      <c r="I4" s="439" t="s">
        <v>50</v>
      </c>
      <c r="J4" s="439"/>
      <c r="K4" s="439"/>
    </row>
    <row r="5" spans="1:11" ht="47.25">
      <c r="A5" s="439"/>
      <c r="B5" s="439"/>
      <c r="C5" s="439"/>
      <c r="D5" s="246" t="s">
        <v>184</v>
      </c>
      <c r="E5" s="246" t="s">
        <v>185</v>
      </c>
      <c r="F5" s="439"/>
      <c r="G5" s="246" t="s">
        <v>184</v>
      </c>
      <c r="H5" s="246" t="s">
        <v>185</v>
      </c>
      <c r="I5" s="246" t="s">
        <v>177</v>
      </c>
      <c r="J5" s="246" t="s">
        <v>184</v>
      </c>
      <c r="K5" s="246" t="s">
        <v>185</v>
      </c>
    </row>
    <row r="6" spans="1:11" ht="15.75">
      <c r="A6" s="247" t="s">
        <v>1</v>
      </c>
      <c r="B6" s="247" t="s">
        <v>6</v>
      </c>
      <c r="C6" s="247" t="s">
        <v>178</v>
      </c>
      <c r="D6" s="247">
        <v>2</v>
      </c>
      <c r="E6" s="247">
        <v>3</v>
      </c>
      <c r="F6" s="247" t="s">
        <v>179</v>
      </c>
      <c r="G6" s="247">
        <v>5</v>
      </c>
      <c r="H6" s="247">
        <v>6</v>
      </c>
      <c r="I6" s="247" t="s">
        <v>180</v>
      </c>
      <c r="J6" s="247" t="s">
        <v>181</v>
      </c>
      <c r="K6" s="247" t="s">
        <v>182</v>
      </c>
    </row>
    <row r="7" spans="1:11" ht="15.75">
      <c r="A7" s="248"/>
      <c r="B7" s="249" t="s">
        <v>23</v>
      </c>
      <c r="C7" s="250">
        <f aca="true" t="shared" si="0" ref="C7:H7">SUM(C8,C27,C32)</f>
        <v>1302971</v>
      </c>
      <c r="D7" s="250">
        <f t="shared" si="0"/>
        <v>1100979</v>
      </c>
      <c r="E7" s="250">
        <f t="shared" si="0"/>
        <v>201992</v>
      </c>
      <c r="F7" s="250">
        <f t="shared" si="0"/>
        <v>1375023</v>
      </c>
      <c r="G7" s="250">
        <f t="shared" si="0"/>
        <v>1149735</v>
      </c>
      <c r="H7" s="250">
        <f t="shared" si="0"/>
        <v>225288</v>
      </c>
      <c r="I7" s="251">
        <f aca="true" t="shared" si="1" ref="I7:K8">F7/C7*100</f>
        <v>105.5298237643048</v>
      </c>
      <c r="J7" s="251">
        <f t="shared" si="1"/>
        <v>104.4284223404806</v>
      </c>
      <c r="K7" s="251">
        <f>H7/E7*100</f>
        <v>111.53313002495149</v>
      </c>
    </row>
    <row r="8" spans="1:11" ht="15.75">
      <c r="A8" s="252" t="s">
        <v>1</v>
      </c>
      <c r="B8" s="253" t="s">
        <v>96</v>
      </c>
      <c r="C8" s="254">
        <f aca="true" t="shared" si="2" ref="C8:H8">SUM(C9,C19,C23:C26)</f>
        <v>1296541</v>
      </c>
      <c r="D8" s="254">
        <f t="shared" si="2"/>
        <v>1096655</v>
      </c>
      <c r="E8" s="254">
        <f t="shared" si="2"/>
        <v>199886</v>
      </c>
      <c r="F8" s="254">
        <f t="shared" si="2"/>
        <v>1368593</v>
      </c>
      <c r="G8" s="254">
        <f t="shared" si="2"/>
        <v>1145411</v>
      </c>
      <c r="H8" s="254">
        <f t="shared" si="2"/>
        <v>223182</v>
      </c>
      <c r="I8" s="255">
        <f t="shared" si="1"/>
        <v>105.55724809319567</v>
      </c>
      <c r="J8" s="255">
        <f t="shared" si="1"/>
        <v>104.44588316289078</v>
      </c>
      <c r="K8" s="255">
        <f t="shared" si="1"/>
        <v>111.65464314659357</v>
      </c>
    </row>
    <row r="9" spans="1:11" ht="15.75">
      <c r="A9" s="252" t="s">
        <v>2</v>
      </c>
      <c r="B9" s="253" t="s">
        <v>93</v>
      </c>
      <c r="C9" s="254">
        <f>SUM(C10,C17,C18)</f>
        <v>123293</v>
      </c>
      <c r="D9" s="254">
        <f>SUM(D10,D17,D18)</f>
        <v>123293</v>
      </c>
      <c r="E9" s="254"/>
      <c r="F9" s="254">
        <f>SUM(F10,F17,F18)</f>
        <v>129093</v>
      </c>
      <c r="G9" s="254">
        <f>'[3]sheet1'!C14</f>
        <v>129093</v>
      </c>
      <c r="H9" s="254"/>
      <c r="I9" s="255">
        <f>F9/C9*100</f>
        <v>104.70424111668952</v>
      </c>
      <c r="J9" s="255">
        <f>G9/D9*100</f>
        <v>104.70424111668952</v>
      </c>
      <c r="K9" s="255"/>
    </row>
    <row r="10" spans="1:11" ht="15.75">
      <c r="A10" s="256">
        <v>1</v>
      </c>
      <c r="B10" s="257" t="s">
        <v>94</v>
      </c>
      <c r="C10" s="258">
        <f>SUM(D10:E10)</f>
        <v>123153</v>
      </c>
      <c r="D10" s="258">
        <f>'B14'!C11</f>
        <v>123153</v>
      </c>
      <c r="E10" s="258">
        <f>E9-E17-E18</f>
        <v>0</v>
      </c>
      <c r="F10" s="258">
        <f>SUM(G10:H10)</f>
        <v>126424</v>
      </c>
      <c r="G10" s="258">
        <f>'B14'!D11</f>
        <v>126424</v>
      </c>
      <c r="H10" s="258">
        <f>H9-H17-H18</f>
        <v>0</v>
      </c>
      <c r="I10" s="259">
        <f>F10/C10*100</f>
        <v>102.65604573173208</v>
      </c>
      <c r="J10" s="259">
        <f>G10/D10*100</f>
        <v>102.65604573173208</v>
      </c>
      <c r="K10" s="259"/>
    </row>
    <row r="11" spans="1:11" ht="15.75">
      <c r="A11" s="256"/>
      <c r="B11" s="260" t="s">
        <v>97</v>
      </c>
      <c r="C11" s="258"/>
      <c r="D11" s="258"/>
      <c r="E11" s="258"/>
      <c r="F11" s="258"/>
      <c r="G11" s="258"/>
      <c r="H11" s="258"/>
      <c r="I11" s="259"/>
      <c r="J11" s="259"/>
      <c r="K11" s="259"/>
    </row>
    <row r="12" spans="1:11" ht="15.75">
      <c r="A12" s="256"/>
      <c r="B12" s="260" t="s">
        <v>187</v>
      </c>
      <c r="C12" s="261">
        <f>SUM(D12:E12)</f>
        <v>0</v>
      </c>
      <c r="D12" s="261">
        <f>'B14'!C13</f>
        <v>0</v>
      </c>
      <c r="E12" s="258"/>
      <c r="F12" s="261">
        <f>SUM(G12:H12)</f>
        <v>8000</v>
      </c>
      <c r="G12" s="261">
        <f>'B14'!D13</f>
        <v>8000</v>
      </c>
      <c r="H12" s="258"/>
      <c r="I12" s="259"/>
      <c r="J12" s="259"/>
      <c r="K12" s="259"/>
    </row>
    <row r="13" spans="1:11" ht="15.75">
      <c r="A13" s="256"/>
      <c r="B13" s="260" t="s">
        <v>188</v>
      </c>
      <c r="C13" s="261">
        <f>SUM(D13:E13)</f>
        <v>0</v>
      </c>
      <c r="D13" s="261">
        <f>'B14'!C14</f>
        <v>0</v>
      </c>
      <c r="E13" s="258"/>
      <c r="F13" s="261">
        <f>SUM(G13:H13)</f>
        <v>0</v>
      </c>
      <c r="G13" s="261">
        <f>'B14'!D14</f>
        <v>0</v>
      </c>
      <c r="H13" s="258"/>
      <c r="I13" s="259"/>
      <c r="J13" s="259"/>
      <c r="K13" s="259"/>
    </row>
    <row r="14" spans="1:11" ht="15.75">
      <c r="A14" s="256"/>
      <c r="B14" s="260" t="s">
        <v>98</v>
      </c>
      <c r="C14" s="258"/>
      <c r="D14" s="258"/>
      <c r="E14" s="258"/>
      <c r="F14" s="258"/>
      <c r="G14" s="258"/>
      <c r="H14" s="258"/>
      <c r="I14" s="259"/>
      <c r="J14" s="259"/>
      <c r="K14" s="259"/>
    </row>
    <row r="15" spans="1:11" ht="15.75">
      <c r="A15" s="256"/>
      <c r="B15" s="260" t="s">
        <v>186</v>
      </c>
      <c r="C15" s="261">
        <f>SUM(D15:E15)</f>
        <v>0</v>
      </c>
      <c r="D15" s="261">
        <f>'B14'!C16</f>
        <v>0</v>
      </c>
      <c r="E15" s="261"/>
      <c r="F15" s="261">
        <f>SUM(G15:H15)</f>
        <v>0</v>
      </c>
      <c r="G15" s="261">
        <f>'B14'!D16</f>
        <v>0</v>
      </c>
      <c r="H15" s="258"/>
      <c r="I15" s="262"/>
      <c r="J15" s="262"/>
      <c r="K15" s="262"/>
    </row>
    <row r="16" spans="1:11" ht="15.75">
      <c r="A16" s="256"/>
      <c r="B16" s="260" t="s">
        <v>189</v>
      </c>
      <c r="C16" s="261">
        <f>SUM(D16:E16)</f>
        <v>16165</v>
      </c>
      <c r="D16" s="261">
        <f>'B14'!C17</f>
        <v>16165</v>
      </c>
      <c r="E16" s="261"/>
      <c r="F16" s="261">
        <f>SUM(G16:H16)</f>
        <v>13613</v>
      </c>
      <c r="G16" s="261">
        <f>'B14'!D17</f>
        <v>13613</v>
      </c>
      <c r="H16" s="258"/>
      <c r="I16" s="262">
        <f>F16/C16*100</f>
        <v>84.21280544386019</v>
      </c>
      <c r="J16" s="262">
        <f>G16/D16*100</f>
        <v>84.21280544386019</v>
      </c>
      <c r="K16" s="262"/>
    </row>
    <row r="17" spans="1:11" ht="47.25">
      <c r="A17" s="256">
        <v>2</v>
      </c>
      <c r="B17" s="257" t="s">
        <v>190</v>
      </c>
      <c r="C17" s="258">
        <f>SUM(D17:E17)</f>
        <v>0</v>
      </c>
      <c r="D17" s="258">
        <f>'B14'!C18</f>
        <v>0</v>
      </c>
      <c r="E17" s="258"/>
      <c r="F17" s="258">
        <f>SUM(G17:H17)</f>
        <v>0</v>
      </c>
      <c r="G17" s="258">
        <f>'B14'!D18</f>
        <v>0</v>
      </c>
      <c r="H17" s="258"/>
      <c r="I17" s="259"/>
      <c r="J17" s="259"/>
      <c r="K17" s="259"/>
    </row>
    <row r="18" spans="1:11" ht="15.75">
      <c r="A18" s="256">
        <v>3</v>
      </c>
      <c r="B18" s="257" t="s">
        <v>105</v>
      </c>
      <c r="C18" s="258">
        <f>SUM(D18:E18)</f>
        <v>140</v>
      </c>
      <c r="D18" s="258">
        <f>'B14'!C19</f>
        <v>140</v>
      </c>
      <c r="E18" s="258"/>
      <c r="F18" s="258">
        <f>SUM(G18:H18)</f>
        <v>2669</v>
      </c>
      <c r="G18" s="258">
        <f>'B14'!D19</f>
        <v>2669</v>
      </c>
      <c r="H18" s="258"/>
      <c r="I18" s="262">
        <f>F18/C18*100</f>
        <v>1906.4285714285713</v>
      </c>
      <c r="J18" s="262">
        <f>G18/D18*100</f>
        <v>1906.4285714285713</v>
      </c>
      <c r="K18" s="262"/>
    </row>
    <row r="19" spans="1:11" ht="15.75">
      <c r="A19" s="252" t="s">
        <v>3</v>
      </c>
      <c r="B19" s="253" t="s">
        <v>7</v>
      </c>
      <c r="C19" s="254">
        <f>SUM(D19:E19)</f>
        <v>1146718</v>
      </c>
      <c r="D19" s="254">
        <f>'[3]sheet1'!B19-E7-D25-D27</f>
        <v>949732</v>
      </c>
      <c r="E19" s="254">
        <f>'B19'!C32-E25-E27</f>
        <v>196986</v>
      </c>
      <c r="F19" s="254">
        <f>SUM(G19:H19)</f>
        <v>1239500</v>
      </c>
      <c r="G19" s="254">
        <f>'[3]sheet1'!C19+'[3]sheet1'!C55+'[3]sheet1'!C58-H7-G25-G27</f>
        <v>1016318</v>
      </c>
      <c r="H19" s="254">
        <f>'B19'!D32-H25-H27-E33</f>
        <v>223182</v>
      </c>
      <c r="I19" s="255">
        <f>F19/C19*100</f>
        <v>108.09109127091403</v>
      </c>
      <c r="J19" s="255">
        <f>G19/D19*100</f>
        <v>107.01103048017757</v>
      </c>
      <c r="K19" s="255">
        <f>H19/E19*100</f>
        <v>113.2984069933904</v>
      </c>
    </row>
    <row r="20" spans="1:11" ht="15.75">
      <c r="A20" s="256"/>
      <c r="B20" s="260" t="s">
        <v>106</v>
      </c>
      <c r="C20" s="258"/>
      <c r="D20" s="258"/>
      <c r="E20" s="258"/>
      <c r="F20" s="258"/>
      <c r="G20" s="258"/>
      <c r="H20" s="258"/>
      <c r="I20" s="259"/>
      <c r="J20" s="259"/>
      <c r="K20" s="259"/>
    </row>
    <row r="21" spans="1:11" ht="15.75">
      <c r="A21" s="256">
        <v>1</v>
      </c>
      <c r="B21" s="260" t="s">
        <v>100</v>
      </c>
      <c r="C21" s="261">
        <f aca="true" t="shared" si="3" ref="C21:C26">SUM(D21:E21)</f>
        <v>513474</v>
      </c>
      <c r="D21" s="261">
        <f>'[3]sheet1'!B32</f>
        <v>513153</v>
      </c>
      <c r="E21" s="261">
        <v>321</v>
      </c>
      <c r="F21" s="261">
        <f aca="true" t="shared" si="4" ref="F21:F26">SUM(G21:H21)</f>
        <v>538884</v>
      </c>
      <c r="G21" s="261">
        <f>'[3]sheet1'!C32+'[3]sheet1'!C57</f>
        <v>538563</v>
      </c>
      <c r="H21" s="261">
        <f>'B27'!U9</f>
        <v>321</v>
      </c>
      <c r="I21" s="262">
        <f>F21/C21*100</f>
        <v>104.94864394302341</v>
      </c>
      <c r="J21" s="262">
        <f>G21/D21*100</f>
        <v>104.95173953966945</v>
      </c>
      <c r="K21" s="262">
        <f>H21/E21*100</f>
        <v>100</v>
      </c>
    </row>
    <row r="22" spans="1:11" ht="15.75">
      <c r="A22" s="256">
        <v>2</v>
      </c>
      <c r="B22" s="260" t="s">
        <v>101</v>
      </c>
      <c r="C22" s="261">
        <f t="shared" si="3"/>
        <v>0</v>
      </c>
      <c r="D22" s="258"/>
      <c r="E22" s="258"/>
      <c r="F22" s="261">
        <f t="shared" si="4"/>
        <v>0</v>
      </c>
      <c r="G22" s="258"/>
      <c r="H22" s="258"/>
      <c r="I22" s="259"/>
      <c r="J22" s="259"/>
      <c r="K22" s="259"/>
    </row>
    <row r="23" spans="1:11" ht="15.75">
      <c r="A23" s="252" t="s">
        <v>4</v>
      </c>
      <c r="B23" s="253" t="s">
        <v>47</v>
      </c>
      <c r="C23" s="254">
        <f t="shared" si="3"/>
        <v>0</v>
      </c>
      <c r="D23" s="258"/>
      <c r="E23" s="258"/>
      <c r="F23" s="254">
        <f t="shared" si="4"/>
        <v>0</v>
      </c>
      <c r="G23" s="258"/>
      <c r="H23" s="258"/>
      <c r="I23" s="259"/>
      <c r="J23" s="259"/>
      <c r="K23" s="259"/>
    </row>
    <row r="24" spans="1:11" ht="15.75">
      <c r="A24" s="252" t="s">
        <v>21</v>
      </c>
      <c r="B24" s="253" t="s">
        <v>48</v>
      </c>
      <c r="C24" s="254">
        <f t="shared" si="3"/>
        <v>0</v>
      </c>
      <c r="D24" s="258"/>
      <c r="E24" s="258"/>
      <c r="F24" s="254">
        <f t="shared" si="4"/>
        <v>0</v>
      </c>
      <c r="G24" s="258"/>
      <c r="H24" s="258"/>
      <c r="I24" s="259"/>
      <c r="J24" s="259"/>
      <c r="K24" s="259"/>
    </row>
    <row r="25" spans="1:11" ht="15.75">
      <c r="A25" s="252" t="s">
        <v>46</v>
      </c>
      <c r="B25" s="253" t="s">
        <v>8</v>
      </c>
      <c r="C25" s="254">
        <f t="shared" si="3"/>
        <v>26530</v>
      </c>
      <c r="D25" s="254">
        <f>'[3]sheet1'!B53</f>
        <v>23630</v>
      </c>
      <c r="E25" s="254">
        <v>2900</v>
      </c>
      <c r="F25" s="254">
        <f t="shared" si="4"/>
        <v>0</v>
      </c>
      <c r="G25" s="254">
        <f>'[3]sheet1'!C53</f>
        <v>0</v>
      </c>
      <c r="H25" s="254"/>
      <c r="I25" s="255"/>
      <c r="J25" s="255"/>
      <c r="K25" s="255"/>
    </row>
    <row r="26" spans="1:11" ht="15.75">
      <c r="A26" s="252" t="s">
        <v>108</v>
      </c>
      <c r="B26" s="253" t="s">
        <v>26</v>
      </c>
      <c r="C26" s="254">
        <f t="shared" si="3"/>
        <v>0</v>
      </c>
      <c r="D26" s="258"/>
      <c r="E26" s="258"/>
      <c r="F26" s="254">
        <f t="shared" si="4"/>
        <v>0</v>
      </c>
      <c r="G26" s="258"/>
      <c r="H26" s="258"/>
      <c r="I26" s="259"/>
      <c r="J26" s="259"/>
      <c r="K26" s="259"/>
    </row>
    <row r="27" spans="1:11" ht="15.75">
      <c r="A27" s="252" t="s">
        <v>6</v>
      </c>
      <c r="B27" s="253" t="s">
        <v>110</v>
      </c>
      <c r="C27" s="254">
        <f aca="true" t="shared" si="5" ref="C27:H27">SUM(C28:C29)</f>
        <v>6430</v>
      </c>
      <c r="D27" s="254">
        <f t="shared" si="5"/>
        <v>4324</v>
      </c>
      <c r="E27" s="254">
        <f t="shared" si="5"/>
        <v>2106</v>
      </c>
      <c r="F27" s="254">
        <f t="shared" si="5"/>
        <v>6430</v>
      </c>
      <c r="G27" s="254">
        <f t="shared" si="5"/>
        <v>4324</v>
      </c>
      <c r="H27" s="254">
        <f t="shared" si="5"/>
        <v>2106</v>
      </c>
      <c r="I27" s="255">
        <f>F27/C27*100</f>
        <v>100</v>
      </c>
      <c r="J27" s="255">
        <f>G27/D27*100</f>
        <v>100</v>
      </c>
      <c r="K27" s="255">
        <f>H27/E27*100</f>
        <v>100</v>
      </c>
    </row>
    <row r="28" spans="1:11" ht="15.75">
      <c r="A28" s="252" t="s">
        <v>2</v>
      </c>
      <c r="B28" s="253" t="s">
        <v>28</v>
      </c>
      <c r="C28" s="258"/>
      <c r="D28" s="258"/>
      <c r="E28" s="258"/>
      <c r="F28" s="258"/>
      <c r="G28" s="258"/>
      <c r="H28" s="258"/>
      <c r="I28" s="259"/>
      <c r="J28" s="259"/>
      <c r="K28" s="259"/>
    </row>
    <row r="29" spans="1:11" ht="15.75">
      <c r="A29" s="252" t="s">
        <v>3</v>
      </c>
      <c r="B29" s="253" t="s">
        <v>29</v>
      </c>
      <c r="C29" s="254">
        <f aca="true" t="shared" si="6" ref="C29:H29">SUM(C30:C31)</f>
        <v>6430</v>
      </c>
      <c r="D29" s="254">
        <f t="shared" si="6"/>
        <v>4324</v>
      </c>
      <c r="E29" s="254">
        <f t="shared" si="6"/>
        <v>2106</v>
      </c>
      <c r="F29" s="254">
        <f t="shared" si="6"/>
        <v>6430</v>
      </c>
      <c r="G29" s="254">
        <f>SUM(G30:G31)</f>
        <v>4324</v>
      </c>
      <c r="H29" s="254">
        <f t="shared" si="6"/>
        <v>2106</v>
      </c>
      <c r="I29" s="255">
        <f aca="true" t="shared" si="7" ref="I29:K30">F29/C29*100</f>
        <v>100</v>
      </c>
      <c r="J29" s="255">
        <f t="shared" si="7"/>
        <v>100</v>
      </c>
      <c r="K29" s="255">
        <f t="shared" si="7"/>
        <v>100</v>
      </c>
    </row>
    <row r="30" spans="1:11" ht="15.75">
      <c r="A30" s="256"/>
      <c r="B30" s="257" t="s">
        <v>113</v>
      </c>
      <c r="C30" s="258">
        <f>SUM(D30:E30)</f>
        <v>6430</v>
      </c>
      <c r="D30" s="258">
        <f>'[4]B33'!D30</f>
        <v>4324</v>
      </c>
      <c r="E30" s="258">
        <f>'[4]B33'!E30</f>
        <v>2106</v>
      </c>
      <c r="F30" s="258">
        <f>SUM(G30:H30)</f>
        <v>6430</v>
      </c>
      <c r="G30" s="258">
        <f>D30</f>
        <v>4324</v>
      </c>
      <c r="H30" s="258">
        <f>E30</f>
        <v>2106</v>
      </c>
      <c r="I30" s="259">
        <f t="shared" si="7"/>
        <v>100</v>
      </c>
      <c r="J30" s="259">
        <f t="shared" si="7"/>
        <v>100</v>
      </c>
      <c r="K30" s="259">
        <f t="shared" si="7"/>
        <v>100</v>
      </c>
    </row>
    <row r="31" spans="1:11" ht="15.75">
      <c r="A31" s="263"/>
      <c r="B31" s="264" t="s">
        <v>360</v>
      </c>
      <c r="C31" s="258">
        <f>SUM(D31:E31)</f>
        <v>0</v>
      </c>
      <c r="D31" s="258">
        <f>'B14'!C32</f>
        <v>0</v>
      </c>
      <c r="E31" s="265"/>
      <c r="F31" s="258">
        <f>SUM(G31:H31)</f>
        <v>0</v>
      </c>
      <c r="G31" s="258">
        <f>'B14'!D32</f>
        <v>0</v>
      </c>
      <c r="H31" s="265"/>
      <c r="I31" s="259"/>
      <c r="J31" s="259"/>
      <c r="K31" s="259"/>
    </row>
    <row r="32" spans="1:11" ht="15.75">
      <c r="A32" s="266" t="s">
        <v>77</v>
      </c>
      <c r="B32" s="267" t="s">
        <v>183</v>
      </c>
      <c r="C32" s="268"/>
      <c r="D32" s="268"/>
      <c r="E32" s="268"/>
      <c r="F32" s="268"/>
      <c r="G32" s="268"/>
      <c r="H32" s="268"/>
      <c r="I32" s="269"/>
      <c r="J32" s="269"/>
      <c r="K32" s="269"/>
    </row>
    <row r="33" spans="2:5" s="353" customFormat="1" ht="15.75">
      <c r="B33" s="353" t="s">
        <v>491</v>
      </c>
      <c r="C33" s="354"/>
      <c r="E33" s="354">
        <v>4021</v>
      </c>
    </row>
    <row r="34" s="353" customFormat="1" ht="15.75"/>
    <row r="35" s="353" customFormat="1" ht="15.75"/>
    <row r="36" s="353" customFormat="1" ht="15.75"/>
    <row r="37" s="353" customFormat="1" ht="15.75"/>
    <row r="38" s="353" customFormat="1" ht="15.75"/>
    <row r="39" s="353" customFormat="1" ht="15.75"/>
    <row r="40" s="353" customFormat="1" ht="15.75"/>
    <row r="41" s="243" customFormat="1" ht="15"/>
  </sheetData>
  <sheetProtection/>
  <mergeCells count="9">
    <mergeCell ref="J1:K1"/>
    <mergeCell ref="A2:K2"/>
    <mergeCell ref="A4:A5"/>
    <mergeCell ref="B4:B5"/>
    <mergeCell ref="C4:C5"/>
    <mergeCell ref="D4:E4"/>
    <mergeCell ref="F4:F5"/>
    <mergeCell ref="G4:H4"/>
    <mergeCell ref="I4:K4"/>
  </mergeCells>
  <printOptions horizontalCentered="1"/>
  <pageMargins left="0.5" right="0.5" top="0" bottom="0"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rgb="FFFF0000"/>
  </sheetPr>
  <dimension ref="A1:G39"/>
  <sheetViews>
    <sheetView showZeros="0" zoomScale="120" zoomScaleNormal="120" zoomScalePageLayoutView="0" workbookViewId="0" topLeftCell="A1">
      <selection activeCell="G10" sqref="G10"/>
    </sheetView>
  </sheetViews>
  <sheetFormatPr defaultColWidth="9.140625" defaultRowHeight="15"/>
  <cols>
    <col min="1" max="1" width="5.7109375" style="128" customWidth="1"/>
    <col min="2" max="2" width="40.57421875" style="128" customWidth="1"/>
    <col min="3" max="3" width="10.00390625" style="128" customWidth="1"/>
    <col min="4" max="4" width="11.28125" style="128" customWidth="1"/>
    <col min="5" max="5" width="10.8515625" style="128" customWidth="1"/>
    <col min="6" max="6" width="9.28125" style="128" hidden="1" customWidth="1"/>
    <col min="7" max="7" width="10.00390625" style="128" customWidth="1"/>
    <col min="8" max="16384" width="9.140625" style="128" customWidth="1"/>
  </cols>
  <sheetData>
    <row r="1" spans="1:7" ht="15">
      <c r="A1" s="412" t="s">
        <v>500</v>
      </c>
      <c r="B1" s="411"/>
      <c r="C1" s="411"/>
      <c r="D1" s="411"/>
      <c r="E1" s="411"/>
      <c r="F1" s="411"/>
      <c r="G1" s="152" t="s">
        <v>499</v>
      </c>
    </row>
    <row r="2" spans="1:7" ht="38.25" customHeight="1">
      <c r="A2" s="434" t="s">
        <v>472</v>
      </c>
      <c r="B2" s="434"/>
      <c r="C2" s="434"/>
      <c r="D2" s="434"/>
      <c r="E2" s="434"/>
      <c r="F2" s="434"/>
      <c r="G2" s="434"/>
    </row>
    <row r="3" spans="1:7" ht="15">
      <c r="A3" s="435" t="s">
        <v>501</v>
      </c>
      <c r="B3" s="435"/>
      <c r="C3" s="435"/>
      <c r="D3" s="435"/>
      <c r="E3" s="435"/>
      <c r="F3" s="435"/>
      <c r="G3" s="435"/>
    </row>
    <row r="4" spans="6:7" ht="15" customHeight="1">
      <c r="F4" s="420" t="s">
        <v>10</v>
      </c>
      <c r="G4" s="421" t="s">
        <v>10</v>
      </c>
    </row>
    <row r="5" spans="1:7" ht="15" customHeight="1">
      <c r="A5" s="432" t="s">
        <v>0</v>
      </c>
      <c r="B5" s="432" t="s">
        <v>9</v>
      </c>
      <c r="C5" s="432" t="s">
        <v>434</v>
      </c>
      <c r="D5" s="432" t="s">
        <v>452</v>
      </c>
      <c r="E5" s="432" t="s">
        <v>453</v>
      </c>
      <c r="F5" s="419"/>
      <c r="G5" s="436" t="s">
        <v>50</v>
      </c>
    </row>
    <row r="6" spans="1:7" ht="15">
      <c r="A6" s="433"/>
      <c r="B6" s="433"/>
      <c r="C6" s="433"/>
      <c r="D6" s="433"/>
      <c r="E6" s="433"/>
      <c r="F6" s="148"/>
      <c r="G6" s="437"/>
    </row>
    <row r="7" spans="1:7" ht="15">
      <c r="A7" s="242" t="s">
        <v>1</v>
      </c>
      <c r="B7" s="242" t="s">
        <v>6</v>
      </c>
      <c r="C7" s="242">
        <v>1</v>
      </c>
      <c r="D7" s="242">
        <v>2</v>
      </c>
      <c r="E7" s="242">
        <v>3</v>
      </c>
      <c r="F7" s="242">
        <v>4</v>
      </c>
      <c r="G7" s="242">
        <v>4</v>
      </c>
    </row>
    <row r="8" spans="1:7" ht="15">
      <c r="A8" s="144" t="s">
        <v>1</v>
      </c>
      <c r="B8" s="145" t="s">
        <v>121</v>
      </c>
      <c r="C8" s="146"/>
      <c r="D8" s="146"/>
      <c r="E8" s="146"/>
      <c r="F8" s="147"/>
      <c r="G8" s="147"/>
    </row>
    <row r="9" spans="1:7" ht="15">
      <c r="A9" s="133" t="s">
        <v>2</v>
      </c>
      <c r="B9" s="134" t="s">
        <v>36</v>
      </c>
      <c r="C9" s="137">
        <f>SUM(C10,C11,C14:C16)</f>
        <v>1283317</v>
      </c>
      <c r="D9" s="137">
        <f>SUM(D10,D11,D14:D16)</f>
        <v>1573160</v>
      </c>
      <c r="E9" s="137">
        <f>SUM(E10,E11,E14:E16)</f>
        <v>1191907</v>
      </c>
      <c r="F9" s="137">
        <f>SUM(F10,F11,F14:F16)</f>
        <v>-381253</v>
      </c>
      <c r="G9" s="315">
        <f>E9/D9*100</f>
        <v>75.76514785527219</v>
      </c>
    </row>
    <row r="10" spans="1:7" ht="15">
      <c r="A10" s="138">
        <v>1</v>
      </c>
      <c r="B10" s="139" t="s">
        <v>37</v>
      </c>
      <c r="C10" s="135">
        <f>'[2]sheet1'!D14+'[2]sheet1'!D23+'[2]sheet1'!D30+'[2]sheet1'!D31+'[2]sheet1'!D32</f>
        <v>185157</v>
      </c>
      <c r="D10" s="135">
        <f>'[2]sheet1'!H14+'[2]sheet1'!H23+'[2]sheet1'!H30+'[2]sheet1'!H31+'[2]sheet1'!H32+'[2]sheet1'!H36+'[2]sheet1'!H37</f>
        <v>177698</v>
      </c>
      <c r="E10" s="135">
        <f>'[2]sheet1'!L14+'[2]sheet1'!L23+'[2]sheet1'!L30+'[2]sheet1'!L31+'[2]sheet1'!L32</f>
        <v>189202</v>
      </c>
      <c r="F10" s="316">
        <f>E10-D10</f>
        <v>11504</v>
      </c>
      <c r="G10" s="317">
        <f>E10/D10*100</f>
        <v>106.47390516494278</v>
      </c>
    </row>
    <row r="11" spans="1:7" ht="15">
      <c r="A11" s="138">
        <v>2</v>
      </c>
      <c r="B11" s="139" t="s">
        <v>17</v>
      </c>
      <c r="C11" s="135">
        <f>SUM(C12:C13)</f>
        <v>1096778</v>
      </c>
      <c r="D11" s="135">
        <f>SUM(D12:D13)</f>
        <v>1107224</v>
      </c>
      <c r="E11" s="135">
        <f>SUM(E12:E13)</f>
        <v>984297</v>
      </c>
      <c r="F11" s="135">
        <f>SUM(F12:F13)</f>
        <v>-122927</v>
      </c>
      <c r="G11" s="317">
        <f>E11/D11*100</f>
        <v>88.89772981799527</v>
      </c>
    </row>
    <row r="12" spans="1:7" ht="15">
      <c r="A12" s="138"/>
      <c r="B12" s="139" t="s">
        <v>123</v>
      </c>
      <c r="C12" s="135">
        <f>'B12'!C15</f>
        <v>972442</v>
      </c>
      <c r="D12" s="135">
        <f>'B12'!D15</f>
        <v>972442</v>
      </c>
      <c r="E12" s="135">
        <f>'[2]sheet1'!L33</f>
        <v>984297</v>
      </c>
      <c r="F12" s="316">
        <f>E12-D12</f>
        <v>11855</v>
      </c>
      <c r="G12" s="317">
        <f>E12/D12*100</f>
        <v>101.21909584324824</v>
      </c>
    </row>
    <row r="13" spans="1:7" ht="15">
      <c r="A13" s="138"/>
      <c r="B13" s="139" t="s">
        <v>124</v>
      </c>
      <c r="C13" s="135">
        <f>'B12'!C16</f>
        <v>124336</v>
      </c>
      <c r="D13" s="135">
        <f>'B12'!D16</f>
        <v>134782</v>
      </c>
      <c r="E13" s="135"/>
      <c r="F13" s="316">
        <f>E13-D13</f>
        <v>-134782</v>
      </c>
      <c r="G13" s="317">
        <f>E13/D13*100</f>
        <v>0</v>
      </c>
    </row>
    <row r="14" spans="1:7" ht="15">
      <c r="A14" s="138">
        <v>3</v>
      </c>
      <c r="B14" s="139" t="s">
        <v>45</v>
      </c>
      <c r="C14" s="135"/>
      <c r="D14" s="135"/>
      <c r="E14" s="135"/>
      <c r="F14" s="136"/>
      <c r="G14" s="317"/>
    </row>
    <row r="15" spans="1:7" ht="15">
      <c r="A15" s="138">
        <v>4</v>
      </c>
      <c r="B15" s="139" t="s">
        <v>117</v>
      </c>
      <c r="C15" s="135"/>
      <c r="D15" s="135">
        <f>'[2]sheet1'!H35</f>
        <v>253356</v>
      </c>
      <c r="E15" s="135">
        <f>'[2]sheet1'!L35</f>
        <v>0</v>
      </c>
      <c r="F15" s="316">
        <f>E15-D15</f>
        <v>-253356</v>
      </c>
      <c r="G15" s="317">
        <f>E15/D15*100</f>
        <v>0</v>
      </c>
    </row>
    <row r="16" spans="1:7" ht="15">
      <c r="A16" s="138">
        <v>5</v>
      </c>
      <c r="B16" s="322" t="s">
        <v>22</v>
      </c>
      <c r="C16" s="135">
        <f>'[2]sheet1'!D34+'[2]sheet1'!D36</f>
        <v>1382</v>
      </c>
      <c r="D16" s="135">
        <f>'[2]sheet1'!H34</f>
        <v>34882</v>
      </c>
      <c r="E16" s="135">
        <f>'[2]sheet1'!L34+'[2]sheet1'!L36</f>
        <v>18408</v>
      </c>
      <c r="F16" s="316">
        <f>E16-D16</f>
        <v>-16474</v>
      </c>
      <c r="G16" s="317">
        <f>E16/D16*100</f>
        <v>52.77220342870248</v>
      </c>
    </row>
    <row r="17" spans="1:7" ht="15">
      <c r="A17" s="133" t="s">
        <v>3</v>
      </c>
      <c r="B17" s="134" t="s">
        <v>118</v>
      </c>
      <c r="C17" s="137">
        <f>SUM(C18:C19,C22)</f>
        <v>1283317</v>
      </c>
      <c r="D17" s="137">
        <f>SUM(D18:D19,D22)</f>
        <v>1340472</v>
      </c>
      <c r="E17" s="137">
        <f>SUM(E18:E19,E22)</f>
        <v>1191907</v>
      </c>
      <c r="F17" s="137">
        <f>SUM(F18:F19,F22)</f>
        <v>-91410</v>
      </c>
      <c r="G17" s="315">
        <f>E17/C17*100</f>
        <v>92.8770522014436</v>
      </c>
    </row>
    <row r="18" spans="1:7" ht="15">
      <c r="A18" s="138">
        <v>1</v>
      </c>
      <c r="B18" s="139" t="s">
        <v>125</v>
      </c>
      <c r="C18" s="135">
        <f>'[3]sheet1'!B12-'[3]sheet1'!B49</f>
        <v>1100979</v>
      </c>
      <c r="D18" s="135">
        <f>'[3]sheet1'!C12-'[3]sheet1'!C49</f>
        <v>1149735</v>
      </c>
      <c r="E18" s="135">
        <f>'[3]sheet1'!D12-'[3]sheet1'!D49</f>
        <v>1008188</v>
      </c>
      <c r="F18" s="316">
        <f>E18-C18</f>
        <v>-92791</v>
      </c>
      <c r="G18" s="317">
        <f>E18/C18*100</f>
        <v>91.57195550505504</v>
      </c>
    </row>
    <row r="19" spans="1:7" ht="15">
      <c r="A19" s="138">
        <v>2</v>
      </c>
      <c r="B19" s="139" t="s">
        <v>38</v>
      </c>
      <c r="C19" s="135">
        <f>SUM(C20:C21)</f>
        <v>182338</v>
      </c>
      <c r="D19" s="135">
        <f>SUM(D20:D21)</f>
        <v>190737</v>
      </c>
      <c r="E19" s="135">
        <f>SUM(E20:E21)</f>
        <v>183719</v>
      </c>
      <c r="F19" s="316">
        <f>E19-C19</f>
        <v>1381</v>
      </c>
      <c r="G19" s="317">
        <f>E19/C19*100</f>
        <v>100.75738463732189</v>
      </c>
    </row>
    <row r="20" spans="1:7" ht="15">
      <c r="A20" s="138"/>
      <c r="B20" s="139" t="s">
        <v>126</v>
      </c>
      <c r="C20" s="135">
        <f aca="true" t="shared" si="0" ref="C20:E21">C28</f>
        <v>182338</v>
      </c>
      <c r="D20" s="135">
        <f>D28</f>
        <v>181078</v>
      </c>
      <c r="E20" s="135">
        <f t="shared" si="0"/>
        <v>183719</v>
      </c>
      <c r="F20" s="316">
        <f>E20-C20</f>
        <v>1381</v>
      </c>
      <c r="G20" s="317">
        <f>E20/C20*100</f>
        <v>100.75738463732189</v>
      </c>
    </row>
    <row r="21" spans="1:7" ht="15">
      <c r="A21" s="138"/>
      <c r="B21" s="139" t="s">
        <v>127</v>
      </c>
      <c r="C21" s="135">
        <f t="shared" si="0"/>
        <v>0</v>
      </c>
      <c r="D21" s="135">
        <f>D29</f>
        <v>9659</v>
      </c>
      <c r="E21" s="135">
        <f t="shared" si="0"/>
        <v>0</v>
      </c>
      <c r="F21" s="316">
        <f>E21-C21</f>
        <v>0</v>
      </c>
      <c r="G21" s="317"/>
    </row>
    <row r="22" spans="1:7" ht="15">
      <c r="A22" s="138">
        <v>3</v>
      </c>
      <c r="B22" s="139" t="s">
        <v>30</v>
      </c>
      <c r="C22" s="135"/>
      <c r="D22" s="135"/>
      <c r="E22" s="135"/>
      <c r="F22" s="316">
        <f>E22-C22</f>
        <v>0</v>
      </c>
      <c r="G22" s="317"/>
    </row>
    <row r="23" spans="1:7" ht="15">
      <c r="A23" s="133" t="s">
        <v>4</v>
      </c>
      <c r="B23" s="134" t="s">
        <v>119</v>
      </c>
      <c r="C23" s="135"/>
      <c r="D23" s="135"/>
      <c r="E23" s="135"/>
      <c r="F23" s="136"/>
      <c r="G23" s="136"/>
    </row>
    <row r="24" spans="1:7" ht="15">
      <c r="A24" s="133" t="s">
        <v>6</v>
      </c>
      <c r="B24" s="134" t="s">
        <v>122</v>
      </c>
      <c r="C24" s="135"/>
      <c r="D24" s="135"/>
      <c r="E24" s="135"/>
      <c r="F24" s="136"/>
      <c r="G24" s="136"/>
    </row>
    <row r="25" spans="1:7" ht="15">
      <c r="A25" s="133" t="s">
        <v>2</v>
      </c>
      <c r="B25" s="134" t="s">
        <v>36</v>
      </c>
      <c r="C25" s="137">
        <f>SUM(C26,C27,C30:C31)</f>
        <v>201992</v>
      </c>
      <c r="D25" s="137">
        <f>SUM(D26,D27,D30:D31)</f>
        <v>255217</v>
      </c>
      <c r="E25" s="137">
        <f>SUM(E26,E27,E30:E31)</f>
        <v>205699</v>
      </c>
      <c r="F25" s="137">
        <f>SUM(F26,F27,F30:F31)</f>
        <v>-49518</v>
      </c>
      <c r="G25" s="315">
        <f>D25/C25*100</f>
        <v>126.35005346746406</v>
      </c>
    </row>
    <row r="26" spans="1:7" ht="15">
      <c r="A26" s="138">
        <v>1</v>
      </c>
      <c r="B26" s="139" t="s">
        <v>37</v>
      </c>
      <c r="C26" s="135">
        <f>'[2]sheet1'!E25+'[2]sheet1'!E30+'[2]sheet1'!E31+'[2]sheet1'!E32</f>
        <v>17891</v>
      </c>
      <c r="D26" s="135">
        <f>'[2]sheet1'!I25+'[2]sheet1'!I30+'[2]sheet1'!I31+'[2]sheet1'!I32</f>
        <v>23821</v>
      </c>
      <c r="E26" s="135">
        <f>'[2]sheet1'!M25+'[2]sheet1'!M30+'[2]sheet1'!M31+'[2]sheet1'!M32</f>
        <v>18248</v>
      </c>
      <c r="F26" s="316">
        <f aca="true" t="shared" si="1" ref="F26:F31">E26-D26</f>
        <v>-5573</v>
      </c>
      <c r="G26" s="317">
        <f aca="true" t="shared" si="2" ref="G26:G31">E26/D26*100</f>
        <v>76.60467654590487</v>
      </c>
    </row>
    <row r="27" spans="1:7" ht="15">
      <c r="A27" s="138">
        <v>2</v>
      </c>
      <c r="B27" s="139" t="s">
        <v>17</v>
      </c>
      <c r="C27" s="135">
        <f>'[2]sheet1'!E33</f>
        <v>182338</v>
      </c>
      <c r="D27" s="135">
        <f>'[2]sheet1'!I33</f>
        <v>190737</v>
      </c>
      <c r="E27" s="135">
        <f>'[2]sheet1'!M33</f>
        <v>183719</v>
      </c>
      <c r="F27" s="316">
        <f t="shared" si="1"/>
        <v>-7018</v>
      </c>
      <c r="G27" s="317">
        <f t="shared" si="2"/>
        <v>96.3205880348333</v>
      </c>
    </row>
    <row r="28" spans="1:7" ht="15">
      <c r="A28" s="138"/>
      <c r="B28" s="139" t="s">
        <v>123</v>
      </c>
      <c r="C28" s="135">
        <f>'[2]sheet1'!E33</f>
        <v>182338</v>
      </c>
      <c r="D28" s="135">
        <f>C28-1260</f>
        <v>181078</v>
      </c>
      <c r="E28" s="135">
        <f>'[2]sheet1'!M33</f>
        <v>183719</v>
      </c>
      <c r="F28" s="316">
        <f t="shared" si="1"/>
        <v>2641</v>
      </c>
      <c r="G28" s="317">
        <f t="shared" si="2"/>
        <v>101.45848750262319</v>
      </c>
    </row>
    <row r="29" spans="1:7" ht="15">
      <c r="A29" s="138"/>
      <c r="B29" s="139" t="s">
        <v>124</v>
      </c>
      <c r="C29" s="135">
        <f>C27-C28</f>
        <v>0</v>
      </c>
      <c r="D29" s="135">
        <f>D27-D28</f>
        <v>9659</v>
      </c>
      <c r="E29" s="135">
        <f>E27-E28</f>
        <v>0</v>
      </c>
      <c r="F29" s="316">
        <f t="shared" si="1"/>
        <v>-9659</v>
      </c>
      <c r="G29" s="317">
        <f t="shared" si="2"/>
        <v>0</v>
      </c>
    </row>
    <row r="30" spans="1:7" ht="15">
      <c r="A30" s="138">
        <v>3</v>
      </c>
      <c r="B30" s="139" t="s">
        <v>20</v>
      </c>
      <c r="C30" s="135"/>
      <c r="D30" s="135">
        <f>'[2]sheet1'!I35</f>
        <v>25589</v>
      </c>
      <c r="E30" s="135">
        <f>'[2]sheet1'!M35</f>
        <v>0</v>
      </c>
      <c r="F30" s="316">
        <f t="shared" si="1"/>
        <v>-25589</v>
      </c>
      <c r="G30" s="317">
        <f t="shared" si="2"/>
        <v>0</v>
      </c>
    </row>
    <row r="31" spans="1:7" ht="15">
      <c r="A31" s="138">
        <v>4</v>
      </c>
      <c r="B31" s="322" t="s">
        <v>22</v>
      </c>
      <c r="C31" s="135">
        <f>'[2]sheet1'!E34+'[2]sheet1'!E36</f>
        <v>1763</v>
      </c>
      <c r="D31" s="135">
        <f>'[2]sheet1'!I34</f>
        <v>15070</v>
      </c>
      <c r="E31" s="135">
        <f>'[2]sheet1'!M34+'[2]sheet1'!M36</f>
        <v>3732</v>
      </c>
      <c r="F31" s="316">
        <f t="shared" si="1"/>
        <v>-11338</v>
      </c>
      <c r="G31" s="317">
        <f t="shared" si="2"/>
        <v>24.764432647644327</v>
      </c>
    </row>
    <row r="32" spans="1:7" ht="15">
      <c r="A32" s="133" t="s">
        <v>3</v>
      </c>
      <c r="B32" s="134" t="s">
        <v>118</v>
      </c>
      <c r="C32" s="137">
        <f>SUM(C33:C34,C37)</f>
        <v>201992</v>
      </c>
      <c r="D32" s="137">
        <f>SUM(D33:D34,D37)</f>
        <v>229309</v>
      </c>
      <c r="E32" s="137">
        <f>SUM(E33:E34,E37)</f>
        <v>205699</v>
      </c>
      <c r="F32" s="137">
        <f>SUM(F33:F34,F37)</f>
        <v>3707</v>
      </c>
      <c r="G32" s="315">
        <f>E32/C32*100</f>
        <v>101.83522119687909</v>
      </c>
    </row>
    <row r="33" spans="1:7" ht="15">
      <c r="A33" s="138">
        <v>1</v>
      </c>
      <c r="B33" s="139" t="s">
        <v>128</v>
      </c>
      <c r="C33" s="135">
        <f>'[3]sheet1'!B49</f>
        <v>201992</v>
      </c>
      <c r="D33" s="135">
        <f>'B19'!D33</f>
        <v>229309</v>
      </c>
      <c r="E33" s="135">
        <f>'[3]sheet1'!D49</f>
        <v>205699</v>
      </c>
      <c r="F33" s="316">
        <f>E33-C33</f>
        <v>3707</v>
      </c>
      <c r="G33" s="317">
        <f>E33/C33*100</f>
        <v>101.83522119687909</v>
      </c>
    </row>
    <row r="34" spans="1:7" ht="15">
      <c r="A34" s="138">
        <v>2</v>
      </c>
      <c r="B34" s="139" t="s">
        <v>120</v>
      </c>
      <c r="C34" s="135"/>
      <c r="D34" s="135"/>
      <c r="E34" s="135"/>
      <c r="F34" s="136"/>
      <c r="G34" s="136"/>
    </row>
    <row r="35" spans="1:7" ht="15">
      <c r="A35" s="138"/>
      <c r="B35" s="139" t="s">
        <v>126</v>
      </c>
      <c r="C35" s="135"/>
      <c r="D35" s="135"/>
      <c r="E35" s="135"/>
      <c r="F35" s="136"/>
      <c r="G35" s="136"/>
    </row>
    <row r="36" spans="1:7" ht="15">
      <c r="A36" s="138"/>
      <c r="B36" s="139" t="s">
        <v>127</v>
      </c>
      <c r="C36" s="135"/>
      <c r="D36" s="135"/>
      <c r="E36" s="135"/>
      <c r="F36" s="136"/>
      <c r="G36" s="136"/>
    </row>
    <row r="37" spans="1:7" ht="15">
      <c r="A37" s="140">
        <v>3</v>
      </c>
      <c r="B37" s="141" t="s">
        <v>30</v>
      </c>
      <c r="C37" s="142"/>
      <c r="D37" s="142"/>
      <c r="E37" s="142"/>
      <c r="F37" s="318">
        <f>D37-C37</f>
        <v>0</v>
      </c>
      <c r="G37" s="143"/>
    </row>
    <row r="38" ht="15">
      <c r="A38" s="128" t="s">
        <v>454</v>
      </c>
    </row>
    <row r="39" ht="15">
      <c r="A39" s="128" t="s">
        <v>455</v>
      </c>
    </row>
  </sheetData>
  <sheetProtection/>
  <mergeCells count="8">
    <mergeCell ref="E5:E6"/>
    <mergeCell ref="A2:G2"/>
    <mergeCell ref="A3:G3"/>
    <mergeCell ref="A5:A6"/>
    <mergeCell ref="B5:B6"/>
    <mergeCell ref="C5:C6"/>
    <mergeCell ref="D5:D6"/>
    <mergeCell ref="G5:G6"/>
  </mergeCells>
  <printOptions horizontalCentered="1"/>
  <pageMargins left="0.56" right="0.4"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45"/>
  <sheetViews>
    <sheetView showZeros="0" zoomScale="130" zoomScaleNormal="130" zoomScalePageLayoutView="0" workbookViewId="0" topLeftCell="A1">
      <selection activeCell="A1" sqref="A1"/>
    </sheetView>
  </sheetViews>
  <sheetFormatPr defaultColWidth="9.140625" defaultRowHeight="15"/>
  <cols>
    <col min="1" max="1" width="5.57421875" style="160" customWidth="1"/>
    <col min="2" max="2" width="53.8515625" style="160" customWidth="1"/>
    <col min="3" max="3" width="9.8515625" style="160" customWidth="1"/>
    <col min="4" max="4" width="9.57421875" style="160" customWidth="1"/>
    <col min="5" max="5" width="7.7109375" style="160" customWidth="1"/>
    <col min="6" max="6" width="8.421875" style="160" customWidth="1"/>
    <col min="7" max="16384" width="9.140625" style="160" customWidth="1"/>
  </cols>
  <sheetData>
    <row r="1" ht="15.75">
      <c r="F1" s="163" t="s">
        <v>192</v>
      </c>
    </row>
    <row r="2" spans="1:6" ht="15.75">
      <c r="A2" s="441" t="s">
        <v>462</v>
      </c>
      <c r="B2" s="441"/>
      <c r="C2" s="441"/>
      <c r="D2" s="441"/>
      <c r="E2" s="441"/>
      <c r="F2" s="441"/>
    </row>
    <row r="3" ht="15.75">
      <c r="F3" s="161" t="s">
        <v>10</v>
      </c>
    </row>
    <row r="4" spans="1:6" ht="15">
      <c r="A4" s="442" t="s">
        <v>0</v>
      </c>
      <c r="B4" s="442" t="s">
        <v>9</v>
      </c>
      <c r="C4" s="442" t="s">
        <v>434</v>
      </c>
      <c r="D4" s="442" t="s">
        <v>449</v>
      </c>
      <c r="E4" s="442" t="s">
        <v>12</v>
      </c>
      <c r="F4" s="442"/>
    </row>
    <row r="5" spans="1:6" ht="28.5">
      <c r="A5" s="442"/>
      <c r="B5" s="442"/>
      <c r="C5" s="442"/>
      <c r="D5" s="442"/>
      <c r="E5" s="164" t="s">
        <v>13</v>
      </c>
      <c r="F5" s="164" t="s">
        <v>99</v>
      </c>
    </row>
    <row r="6" spans="1:6" ht="15">
      <c r="A6" s="231" t="s">
        <v>1</v>
      </c>
      <c r="B6" s="231" t="s">
        <v>6</v>
      </c>
      <c r="C6" s="231">
        <v>1</v>
      </c>
      <c r="D6" s="231">
        <v>2</v>
      </c>
      <c r="E6" s="231" t="s">
        <v>11</v>
      </c>
      <c r="F6" s="231" t="s">
        <v>14</v>
      </c>
    </row>
    <row r="7" spans="1:6" ht="15">
      <c r="A7" s="166"/>
      <c r="B7" s="167" t="s">
        <v>23</v>
      </c>
      <c r="C7" s="168">
        <f>SUM(C8:C9,C45)</f>
        <v>1283317</v>
      </c>
      <c r="D7" s="168">
        <f>SUM(D8:D9,D45)</f>
        <v>1340472</v>
      </c>
      <c r="E7" s="168">
        <f>SUM(E8:E9,E45)</f>
        <v>57155</v>
      </c>
      <c r="F7" s="169">
        <f>D7/C7*100</f>
        <v>104.45369304700243</v>
      </c>
    </row>
    <row r="8" spans="1:6" ht="15">
      <c r="A8" s="170" t="s">
        <v>1</v>
      </c>
      <c r="B8" s="171" t="s">
        <v>205</v>
      </c>
      <c r="C8" s="172">
        <f>'B19'!C19</f>
        <v>182338</v>
      </c>
      <c r="D8" s="172">
        <f>'B19'!D19</f>
        <v>190737</v>
      </c>
      <c r="E8" s="172">
        <f>D8-C8</f>
        <v>8399</v>
      </c>
      <c r="F8" s="173">
        <f>D8/C8*100</f>
        <v>104.60628064363983</v>
      </c>
    </row>
    <row r="9" spans="1:6" ht="15">
      <c r="A9" s="170" t="s">
        <v>6</v>
      </c>
      <c r="B9" s="174" t="s">
        <v>206</v>
      </c>
      <c r="C9" s="172">
        <f>SUM(C10,C27,C41:C44)</f>
        <v>1100979</v>
      </c>
      <c r="D9" s="172">
        <f>SUM(D10,D27,D41:D44)</f>
        <v>1149735</v>
      </c>
      <c r="E9" s="172">
        <f>SUM(E10,E27,E41:E44)</f>
        <v>48756</v>
      </c>
      <c r="F9" s="173">
        <f>D9/C9*100</f>
        <v>104.4284223404806</v>
      </c>
    </row>
    <row r="10" spans="1:6" ht="15">
      <c r="A10" s="170" t="s">
        <v>2</v>
      </c>
      <c r="B10" s="174" t="s">
        <v>25</v>
      </c>
      <c r="C10" s="172">
        <f>SUM(C11,C25,C26)</f>
        <v>123293</v>
      </c>
      <c r="D10" s="172">
        <f>SUM(D11,D25,D26)</f>
        <v>129093</v>
      </c>
      <c r="E10" s="172">
        <f>SUM(E11,E25,E26)</f>
        <v>5800</v>
      </c>
      <c r="F10" s="173">
        <f>D10/C10*100</f>
        <v>104.70424111668952</v>
      </c>
    </row>
    <row r="11" spans="1:6" ht="15">
      <c r="A11" s="175">
        <v>1</v>
      </c>
      <c r="B11" s="176" t="s">
        <v>94</v>
      </c>
      <c r="C11" s="177">
        <f>'B22'!D10</f>
        <v>123153</v>
      </c>
      <c r="D11" s="177">
        <f>SUM(D12:D24)</f>
        <v>126424</v>
      </c>
      <c r="E11" s="177">
        <f>D11-C11</f>
        <v>3271</v>
      </c>
      <c r="F11" s="178">
        <f>D11/C11*100</f>
        <v>102.65604573173208</v>
      </c>
    </row>
    <row r="12" spans="1:6" ht="15">
      <c r="A12" s="175"/>
      <c r="B12" s="176" t="s">
        <v>100</v>
      </c>
      <c r="C12" s="177"/>
      <c r="D12" s="177">
        <f>'B25'!D8</f>
        <v>8000</v>
      </c>
      <c r="E12" s="177"/>
      <c r="F12" s="178"/>
    </row>
    <row r="13" spans="1:6" ht="15" hidden="1">
      <c r="A13" s="175"/>
      <c r="B13" s="176" t="s">
        <v>101</v>
      </c>
      <c r="C13" s="177"/>
      <c r="D13" s="177"/>
      <c r="E13" s="177"/>
      <c r="F13" s="178"/>
    </row>
    <row r="14" spans="1:6" ht="15">
      <c r="A14" s="175"/>
      <c r="B14" s="176" t="s">
        <v>193</v>
      </c>
      <c r="C14" s="177"/>
      <c r="D14" s="177">
        <f>'B25'!F8</f>
        <v>0</v>
      </c>
      <c r="E14" s="177"/>
      <c r="F14" s="178"/>
    </row>
    <row r="15" spans="1:6" ht="15">
      <c r="A15" s="175"/>
      <c r="B15" s="176" t="s">
        <v>194</v>
      </c>
      <c r="C15" s="177"/>
      <c r="D15" s="177">
        <f>'B25'!G8</f>
        <v>6466</v>
      </c>
      <c r="E15" s="177"/>
      <c r="F15" s="178"/>
    </row>
    <row r="16" spans="1:6" ht="15">
      <c r="A16" s="175"/>
      <c r="B16" s="176" t="s">
        <v>195</v>
      </c>
      <c r="C16" s="177"/>
      <c r="D16" s="177">
        <f>'B25'!H8</f>
        <v>5554</v>
      </c>
      <c r="E16" s="177"/>
      <c r="F16" s="178"/>
    </row>
    <row r="17" spans="1:6" ht="15" hidden="1">
      <c r="A17" s="175"/>
      <c r="B17" s="176" t="s">
        <v>196</v>
      </c>
      <c r="C17" s="177"/>
      <c r="D17" s="177">
        <f>'B25'!I8</f>
        <v>0</v>
      </c>
      <c r="E17" s="177"/>
      <c r="F17" s="178"/>
    </row>
    <row r="18" spans="1:6" ht="15" hidden="1">
      <c r="A18" s="175"/>
      <c r="B18" s="176" t="s">
        <v>197</v>
      </c>
      <c r="C18" s="177"/>
      <c r="D18" s="177"/>
      <c r="E18" s="177"/>
      <c r="F18" s="178"/>
    </row>
    <row r="19" spans="1:6" ht="15">
      <c r="A19" s="175"/>
      <c r="B19" s="176" t="s">
        <v>198</v>
      </c>
      <c r="C19" s="177"/>
      <c r="D19" s="177">
        <f>'B25'!K8</f>
        <v>802</v>
      </c>
      <c r="E19" s="177"/>
      <c r="F19" s="178"/>
    </row>
    <row r="20" spans="1:6" ht="15" hidden="1">
      <c r="A20" s="175"/>
      <c r="B20" s="176" t="s">
        <v>199</v>
      </c>
      <c r="C20" s="177"/>
      <c r="D20" s="177">
        <f>'B25'!L8</f>
        <v>0</v>
      </c>
      <c r="E20" s="177"/>
      <c r="F20" s="178"/>
    </row>
    <row r="21" spans="1:6" ht="15">
      <c r="A21" s="175"/>
      <c r="B21" s="176" t="s">
        <v>200</v>
      </c>
      <c r="C21" s="177"/>
      <c r="D21" s="177">
        <f>'B25'!M8</f>
        <v>105514</v>
      </c>
      <c r="E21" s="177"/>
      <c r="F21" s="178"/>
    </row>
    <row r="22" spans="1:6" ht="15">
      <c r="A22" s="175"/>
      <c r="B22" s="176" t="s">
        <v>201</v>
      </c>
      <c r="C22" s="177"/>
      <c r="D22" s="177">
        <f>'B25'!P8</f>
        <v>88</v>
      </c>
      <c r="E22" s="177"/>
      <c r="F22" s="178"/>
    </row>
    <row r="23" spans="1:6" ht="15" hidden="1">
      <c r="A23" s="175"/>
      <c r="B23" s="176" t="s">
        <v>202</v>
      </c>
      <c r="C23" s="177"/>
      <c r="D23" s="177"/>
      <c r="E23" s="177"/>
      <c r="F23" s="178"/>
    </row>
    <row r="24" spans="1:7" ht="15" hidden="1">
      <c r="A24" s="175"/>
      <c r="B24" s="176" t="s">
        <v>203</v>
      </c>
      <c r="C24" s="177"/>
      <c r="D24" s="177"/>
      <c r="E24" s="177"/>
      <c r="F24" s="178"/>
      <c r="G24" s="213"/>
    </row>
    <row r="25" spans="1:6" ht="60">
      <c r="A25" s="175">
        <v>2</v>
      </c>
      <c r="B25" s="176" t="s">
        <v>104</v>
      </c>
      <c r="C25" s="177">
        <f>'B22'!D17</f>
        <v>0</v>
      </c>
      <c r="D25" s="177">
        <f>'B22'!G17</f>
        <v>0</v>
      </c>
      <c r="E25" s="177">
        <f aca="true" t="shared" si="0" ref="E25:E39">D25-C25</f>
        <v>0</v>
      </c>
      <c r="F25" s="178"/>
    </row>
    <row r="26" spans="1:6" ht="15">
      <c r="A26" s="175">
        <v>3</v>
      </c>
      <c r="B26" s="176" t="s">
        <v>105</v>
      </c>
      <c r="C26" s="177">
        <f>'B22'!D18</f>
        <v>140</v>
      </c>
      <c r="D26" s="177">
        <f>'B25'!R8</f>
        <v>2669</v>
      </c>
      <c r="E26" s="177">
        <f t="shared" si="0"/>
        <v>2529</v>
      </c>
      <c r="F26" s="178">
        <f>D26/C26*100</f>
        <v>1906.4285714285713</v>
      </c>
    </row>
    <row r="27" spans="1:6" ht="15">
      <c r="A27" s="170" t="s">
        <v>3</v>
      </c>
      <c r="B27" s="174" t="s">
        <v>7</v>
      </c>
      <c r="C27" s="172">
        <f>SUM(C28:C40)</f>
        <v>954056</v>
      </c>
      <c r="D27" s="172">
        <f>SUM(D28:D40)</f>
        <v>1020642</v>
      </c>
      <c r="E27" s="172">
        <f>SUM(E28:E40)</f>
        <v>66586</v>
      </c>
      <c r="F27" s="173">
        <f aca="true" t="shared" si="1" ref="F27:F43">D27/C27*100</f>
        <v>106.97925488650561</v>
      </c>
    </row>
    <row r="28" spans="1:6" ht="15">
      <c r="A28" s="175"/>
      <c r="B28" s="176" t="s">
        <v>100</v>
      </c>
      <c r="C28" s="177">
        <f>'[3]sheet1'!B32</f>
        <v>513153</v>
      </c>
      <c r="D28" s="177">
        <f>'[3]sheet1'!C32+'[3]sheet1'!C59</f>
        <v>534542</v>
      </c>
      <c r="E28" s="177">
        <f>D28-C28</f>
        <v>21389</v>
      </c>
      <c r="F28" s="178">
        <f t="shared" si="1"/>
        <v>104.16815257827588</v>
      </c>
    </row>
    <row r="29" spans="1:6" ht="15">
      <c r="A29" s="175"/>
      <c r="B29" s="176" t="s">
        <v>101</v>
      </c>
      <c r="C29" s="177"/>
      <c r="D29" s="177"/>
      <c r="E29" s="177">
        <f t="shared" si="0"/>
        <v>0</v>
      </c>
      <c r="F29" s="178"/>
    </row>
    <row r="30" spans="1:6" ht="15">
      <c r="A30" s="175"/>
      <c r="B30" s="176" t="s">
        <v>193</v>
      </c>
      <c r="C30" s="177">
        <f>'[3]sheet1'!B47</f>
        <v>8013</v>
      </c>
      <c r="D30" s="177">
        <f>'[3]sheet1'!C47</f>
        <v>8564</v>
      </c>
      <c r="E30" s="177">
        <f>D30-C30</f>
        <v>551</v>
      </c>
      <c r="F30" s="178">
        <f t="shared" si="1"/>
        <v>106.87632597029825</v>
      </c>
    </row>
    <row r="31" spans="1:6" ht="15">
      <c r="A31" s="175"/>
      <c r="B31" s="176" t="s">
        <v>194</v>
      </c>
      <c r="C31" s="177">
        <f>'[3]sheet1'!B48</f>
        <v>2568</v>
      </c>
      <c r="D31" s="177">
        <f>'[3]sheet1'!C48</f>
        <v>5891</v>
      </c>
      <c r="E31" s="177">
        <f>D31-C31</f>
        <v>3323</v>
      </c>
      <c r="F31" s="178">
        <f t="shared" si="1"/>
        <v>229.40031152647978</v>
      </c>
    </row>
    <row r="32" spans="1:6" ht="15">
      <c r="A32" s="175"/>
      <c r="B32" s="176" t="s">
        <v>195</v>
      </c>
      <c r="C32" s="177">
        <f>'[3]sheet1'!B37</f>
        <v>106757</v>
      </c>
      <c r="D32" s="177">
        <f>'[3]sheet1'!C37</f>
        <v>108692</v>
      </c>
      <c r="E32" s="177">
        <f t="shared" si="0"/>
        <v>1935</v>
      </c>
      <c r="F32" s="178">
        <f t="shared" si="1"/>
        <v>101.81252751576008</v>
      </c>
    </row>
    <row r="33" spans="1:6" ht="15">
      <c r="A33" s="175"/>
      <c r="B33" s="176" t="s">
        <v>196</v>
      </c>
      <c r="C33" s="177">
        <f>'[3]sheet1'!B38</f>
        <v>4355</v>
      </c>
      <c r="D33" s="177">
        <f>'[3]sheet1'!C38</f>
        <v>5026</v>
      </c>
      <c r="E33" s="177">
        <f t="shared" si="0"/>
        <v>671</v>
      </c>
      <c r="F33" s="178">
        <f t="shared" si="1"/>
        <v>115.40757749712974</v>
      </c>
    </row>
    <row r="34" spans="1:6" ht="15">
      <c r="A34" s="175"/>
      <c r="B34" s="176" t="s">
        <v>197</v>
      </c>
      <c r="C34" s="177"/>
      <c r="D34" s="177"/>
      <c r="E34" s="177">
        <f t="shared" si="0"/>
        <v>0</v>
      </c>
      <c r="F34" s="178"/>
    </row>
    <row r="35" spans="1:6" ht="15">
      <c r="A35" s="175"/>
      <c r="B35" s="176" t="s">
        <v>198</v>
      </c>
      <c r="C35" s="177">
        <f>'[3]sheet1'!B39</f>
        <v>1985</v>
      </c>
      <c r="D35" s="177">
        <f>'[3]sheet1'!C39</f>
        <v>2744</v>
      </c>
      <c r="E35" s="177">
        <f t="shared" si="0"/>
        <v>759</v>
      </c>
      <c r="F35" s="178">
        <f t="shared" si="1"/>
        <v>138.2367758186398</v>
      </c>
    </row>
    <row r="36" spans="1:6" ht="15">
      <c r="A36" s="175"/>
      <c r="B36" s="176" t="s">
        <v>199</v>
      </c>
      <c r="C36" s="177">
        <f>'[3]sheet1'!B29</f>
        <v>80605</v>
      </c>
      <c r="D36" s="177">
        <f>'[3]sheet1'!C29</f>
        <v>83886</v>
      </c>
      <c r="E36" s="177">
        <f t="shared" si="0"/>
        <v>3281</v>
      </c>
      <c r="F36" s="178">
        <f t="shared" si="1"/>
        <v>104.07046709261212</v>
      </c>
    </row>
    <row r="37" spans="1:6" ht="15">
      <c r="A37" s="175"/>
      <c r="B37" s="176" t="s">
        <v>200</v>
      </c>
      <c r="C37" s="177">
        <f>'[3]sheet1'!B20-C36</f>
        <v>60046</v>
      </c>
      <c r="D37" s="177">
        <f>'[3]sheet1'!C20-D36</f>
        <v>54882</v>
      </c>
      <c r="E37" s="177">
        <f t="shared" si="0"/>
        <v>-5164</v>
      </c>
      <c r="F37" s="178">
        <f t="shared" si="1"/>
        <v>91.39992672284582</v>
      </c>
    </row>
    <row r="38" spans="1:6" ht="15">
      <c r="A38" s="175"/>
      <c r="B38" s="176" t="s">
        <v>201</v>
      </c>
      <c r="C38" s="177">
        <f>'[3]sheet1'!B41</f>
        <v>63598</v>
      </c>
      <c r="D38" s="177">
        <f>'[3]sheet1'!C41</f>
        <v>84325</v>
      </c>
      <c r="E38" s="177">
        <f t="shared" si="0"/>
        <v>20727</v>
      </c>
      <c r="F38" s="178">
        <f t="shared" si="1"/>
        <v>132.59064750463853</v>
      </c>
    </row>
    <row r="39" spans="1:6" ht="15">
      <c r="A39" s="175"/>
      <c r="B39" s="176" t="s">
        <v>202</v>
      </c>
      <c r="C39" s="177">
        <f>'[3]sheet1'!B40</f>
        <v>97209</v>
      </c>
      <c r="D39" s="177">
        <f>'[3]sheet1'!C40</f>
        <v>97811</v>
      </c>
      <c r="E39" s="177">
        <f t="shared" si="0"/>
        <v>602</v>
      </c>
      <c r="F39" s="178">
        <f t="shared" si="1"/>
        <v>100.61928422265427</v>
      </c>
    </row>
    <row r="40" spans="1:6" ht="15">
      <c r="A40" s="175"/>
      <c r="B40" s="176" t="s">
        <v>204</v>
      </c>
      <c r="C40" s="177">
        <f>'[3]sheet1'!B52</f>
        <v>15767</v>
      </c>
      <c r="D40" s="177">
        <f>'[3]sheet1'!C52+'[3]sheet1'!C55</f>
        <v>34279</v>
      </c>
      <c r="E40" s="177">
        <f>D40-C40</f>
        <v>18512</v>
      </c>
      <c r="F40" s="178">
        <f t="shared" si="1"/>
        <v>217.40977992008627</v>
      </c>
    </row>
    <row r="41" spans="1:6" ht="15">
      <c r="A41" s="170" t="s">
        <v>4</v>
      </c>
      <c r="B41" s="174" t="s">
        <v>47</v>
      </c>
      <c r="C41" s="177"/>
      <c r="D41" s="177"/>
      <c r="E41" s="177"/>
      <c r="F41" s="173"/>
    </row>
    <row r="42" spans="1:6" ht="15">
      <c r="A42" s="170" t="s">
        <v>21</v>
      </c>
      <c r="B42" s="174" t="s">
        <v>48</v>
      </c>
      <c r="C42" s="177"/>
      <c r="D42" s="177"/>
      <c r="E42" s="177"/>
      <c r="F42" s="173"/>
    </row>
    <row r="43" spans="1:6" ht="15">
      <c r="A43" s="170" t="s">
        <v>46</v>
      </c>
      <c r="B43" s="174" t="s">
        <v>8</v>
      </c>
      <c r="C43" s="172">
        <f>'[3]sheet1'!B53</f>
        <v>23630</v>
      </c>
      <c r="D43" s="172">
        <f>'[3]sheet1'!C53</f>
        <v>0</v>
      </c>
      <c r="E43" s="172">
        <f>D43-C43</f>
        <v>-23630</v>
      </c>
      <c r="F43" s="173">
        <f t="shared" si="1"/>
        <v>0</v>
      </c>
    </row>
    <row r="44" spans="1:6" ht="15">
      <c r="A44" s="170" t="s">
        <v>108</v>
      </c>
      <c r="B44" s="174" t="s">
        <v>26</v>
      </c>
      <c r="C44" s="177"/>
      <c r="D44" s="177"/>
      <c r="E44" s="177"/>
      <c r="F44" s="173"/>
    </row>
    <row r="45" spans="1:6" ht="15">
      <c r="A45" s="179" t="s">
        <v>77</v>
      </c>
      <c r="B45" s="180" t="s">
        <v>183</v>
      </c>
      <c r="C45" s="181"/>
      <c r="D45" s="181"/>
      <c r="E45" s="182">
        <f>D45-C45</f>
        <v>0</v>
      </c>
      <c r="F45" s="183"/>
    </row>
  </sheetData>
  <sheetProtection/>
  <mergeCells count="6">
    <mergeCell ref="A2:F2"/>
    <mergeCell ref="A4:A5"/>
    <mergeCell ref="B4:B5"/>
    <mergeCell ref="C4:C5"/>
    <mergeCell ref="D4:D5"/>
    <mergeCell ref="E4:F4"/>
  </mergeCells>
  <printOptions horizontalCentered="1"/>
  <pageMargins left="0.4" right="0.4" top="0.5" bottom="0" header="0.3"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129"/>
  <sheetViews>
    <sheetView showZeros="0" zoomScalePageLayoutView="0" workbookViewId="0" topLeftCell="A1">
      <selection activeCell="A1" sqref="A1"/>
    </sheetView>
  </sheetViews>
  <sheetFormatPr defaultColWidth="9.140625" defaultRowHeight="15"/>
  <cols>
    <col min="1" max="1" width="5.57421875" style="243" customWidth="1"/>
    <col min="2" max="2" width="36.57421875" style="243" customWidth="1"/>
    <col min="3" max="3" width="10.00390625" style="243" customWidth="1"/>
    <col min="4" max="4" width="9.00390625" style="243" customWidth="1"/>
    <col min="5" max="5" width="10.00390625" style="243" customWidth="1"/>
    <col min="6" max="6" width="11.421875" style="243" customWidth="1"/>
    <col min="7" max="7" width="10.421875" style="243" customWidth="1"/>
    <col min="8" max="8" width="9.7109375" style="243" customWidth="1"/>
    <col min="9" max="9" width="11.00390625" style="243" customWidth="1"/>
    <col min="10" max="10" width="11.8515625" style="243" customWidth="1"/>
    <col min="11" max="11" width="11.7109375" style="243" customWidth="1"/>
    <col min="12" max="16384" width="9.140625" style="243" customWidth="1"/>
  </cols>
  <sheetData>
    <row r="1" ht="15.75">
      <c r="K1" s="347" t="s">
        <v>309</v>
      </c>
    </row>
    <row r="2" spans="1:11" ht="15.75">
      <c r="A2" s="478" t="s">
        <v>463</v>
      </c>
      <c r="B2" s="478"/>
      <c r="C2" s="478"/>
      <c r="D2" s="478"/>
      <c r="E2" s="478"/>
      <c r="F2" s="478"/>
      <c r="G2" s="478"/>
      <c r="H2" s="478"/>
      <c r="I2" s="478"/>
      <c r="J2" s="478"/>
      <c r="K2" s="478"/>
    </row>
    <row r="3" spans="1:11" ht="15.75">
      <c r="A3" s="445"/>
      <c r="B3" s="445"/>
      <c r="C3" s="445"/>
      <c r="D3" s="445"/>
      <c r="E3" s="445"/>
      <c r="F3" s="445"/>
      <c r="G3" s="445"/>
      <c r="H3" s="445"/>
      <c r="I3" s="445"/>
      <c r="J3" s="445"/>
      <c r="K3" s="445"/>
    </row>
    <row r="4" ht="15.75">
      <c r="K4" s="245" t="s">
        <v>10</v>
      </c>
    </row>
    <row r="5" spans="1:11" ht="29.25" customHeight="1">
      <c r="A5" s="460" t="s">
        <v>0</v>
      </c>
      <c r="B5" s="460" t="s">
        <v>173</v>
      </c>
      <c r="C5" s="460" t="s">
        <v>130</v>
      </c>
      <c r="D5" s="460" t="s">
        <v>93</v>
      </c>
      <c r="E5" s="460" t="s">
        <v>7</v>
      </c>
      <c r="F5" s="460" t="s">
        <v>314</v>
      </c>
      <c r="G5" s="460" t="s">
        <v>48</v>
      </c>
      <c r="H5" s="460" t="s">
        <v>316</v>
      </c>
      <c r="I5" s="460"/>
      <c r="J5" s="460"/>
      <c r="K5" s="460" t="s">
        <v>310</v>
      </c>
    </row>
    <row r="6" spans="1:11" ht="30">
      <c r="A6" s="460"/>
      <c r="B6" s="460"/>
      <c r="C6" s="460"/>
      <c r="D6" s="460"/>
      <c r="E6" s="460"/>
      <c r="F6" s="460"/>
      <c r="G6" s="460"/>
      <c r="H6" s="305" t="s">
        <v>130</v>
      </c>
      <c r="I6" s="305" t="s">
        <v>93</v>
      </c>
      <c r="J6" s="305" t="s">
        <v>7</v>
      </c>
      <c r="K6" s="460"/>
    </row>
    <row r="7" spans="1:11" ht="15">
      <c r="A7" s="305" t="s">
        <v>1</v>
      </c>
      <c r="B7" s="305" t="s">
        <v>6</v>
      </c>
      <c r="C7" s="306" t="s">
        <v>51</v>
      </c>
      <c r="D7" s="306" t="s">
        <v>52</v>
      </c>
      <c r="E7" s="306" t="s">
        <v>53</v>
      </c>
      <c r="F7" s="306" t="s">
        <v>54</v>
      </c>
      <c r="G7" s="306" t="s">
        <v>299</v>
      </c>
      <c r="H7" s="306" t="s">
        <v>300</v>
      </c>
      <c r="I7" s="306" t="s">
        <v>301</v>
      </c>
      <c r="J7" s="306" t="s">
        <v>302</v>
      </c>
      <c r="K7" s="306" t="s">
        <v>303</v>
      </c>
    </row>
    <row r="8" spans="1:11" ht="15">
      <c r="A8" s="361"/>
      <c r="B8" s="330" t="s">
        <v>149</v>
      </c>
      <c r="C8" s="362">
        <f aca="true" t="shared" si="0" ref="C8:K8">SUM(C9,C126:C129)</f>
        <v>1340472</v>
      </c>
      <c r="D8" s="362">
        <f t="shared" si="0"/>
        <v>129093</v>
      </c>
      <c r="E8" s="362">
        <f t="shared" si="0"/>
        <v>1207055</v>
      </c>
      <c r="F8" s="362">
        <f t="shared" si="0"/>
        <v>0</v>
      </c>
      <c r="G8" s="362">
        <f t="shared" si="0"/>
        <v>0</v>
      </c>
      <c r="H8" s="362">
        <f t="shared" si="0"/>
        <v>4324</v>
      </c>
      <c r="I8" s="362">
        <f t="shared" si="0"/>
        <v>0</v>
      </c>
      <c r="J8" s="362">
        <f t="shared" si="0"/>
        <v>4324</v>
      </c>
      <c r="K8" s="362">
        <f t="shared" si="0"/>
        <v>0</v>
      </c>
    </row>
    <row r="9" spans="1:11" ht="15">
      <c r="A9" s="363" t="s">
        <v>2</v>
      </c>
      <c r="B9" s="364" t="s">
        <v>311</v>
      </c>
      <c r="C9" s="365">
        <f aca="true" t="shared" si="1" ref="C9:K9">SUM(C10:C125)</f>
        <v>1149735</v>
      </c>
      <c r="D9" s="365">
        <f t="shared" si="1"/>
        <v>129093</v>
      </c>
      <c r="E9" s="365">
        <f t="shared" si="1"/>
        <v>1016318</v>
      </c>
      <c r="F9" s="365">
        <f t="shared" si="1"/>
        <v>0</v>
      </c>
      <c r="G9" s="365">
        <f t="shared" si="1"/>
        <v>0</v>
      </c>
      <c r="H9" s="365">
        <f t="shared" si="1"/>
        <v>4324</v>
      </c>
      <c r="I9" s="365">
        <f t="shared" si="1"/>
        <v>0</v>
      </c>
      <c r="J9" s="365">
        <f t="shared" si="1"/>
        <v>4324</v>
      </c>
      <c r="K9" s="365">
        <f t="shared" si="1"/>
        <v>0</v>
      </c>
    </row>
    <row r="10" spans="1:11" ht="15">
      <c r="A10" s="270">
        <f>'B26'!A8</f>
        <v>1</v>
      </c>
      <c r="B10" s="313" t="str">
        <f>'B26'!B8</f>
        <v>Văn phòng HĐND và UBND</v>
      </c>
      <c r="C10" s="314">
        <f>SUM(D10:H10,K10)</f>
        <v>18858</v>
      </c>
      <c r="D10" s="314">
        <f>'B25'!C11</f>
        <v>0</v>
      </c>
      <c r="E10" s="314">
        <f>'B26'!C8</f>
        <v>18858</v>
      </c>
      <c r="F10" s="314"/>
      <c r="G10" s="314"/>
      <c r="H10" s="314">
        <f>SUM(I10:J10)</f>
        <v>0</v>
      </c>
      <c r="I10" s="314"/>
      <c r="J10" s="314"/>
      <c r="K10" s="314"/>
    </row>
    <row r="11" spans="1:11" ht="15">
      <c r="A11" s="270">
        <f>'B26'!A9</f>
        <v>2</v>
      </c>
      <c r="B11" s="313" t="str">
        <f>'B26'!B9</f>
        <v>Phòng Tài chính - Kế hoạch</v>
      </c>
      <c r="C11" s="314">
        <f aca="true" t="shared" si="2" ref="C11:C74">SUM(D11:H11,K11)</f>
        <v>4467</v>
      </c>
      <c r="D11" s="314"/>
      <c r="E11" s="314">
        <f>'B26'!C9</f>
        <v>4467</v>
      </c>
      <c r="F11" s="314"/>
      <c r="G11" s="314"/>
      <c r="H11" s="314">
        <f aca="true" t="shared" si="3" ref="H11:H74">SUM(I11:J11)</f>
        <v>0</v>
      </c>
      <c r="I11" s="314"/>
      <c r="J11" s="314"/>
      <c r="K11" s="314"/>
    </row>
    <row r="12" spans="1:11" ht="15">
      <c r="A12" s="270">
        <f>'B26'!A10</f>
        <v>3</v>
      </c>
      <c r="B12" s="313" t="str">
        <f>'B26'!B10</f>
        <v>Phòng Kinh tế</v>
      </c>
      <c r="C12" s="314">
        <f t="shared" si="2"/>
        <v>3059</v>
      </c>
      <c r="D12" s="314"/>
      <c r="E12" s="314">
        <f>'B26'!C10</f>
        <v>3059</v>
      </c>
      <c r="F12" s="314"/>
      <c r="G12" s="314"/>
      <c r="H12" s="314">
        <f t="shared" si="3"/>
        <v>0</v>
      </c>
      <c r="I12" s="314"/>
      <c r="J12" s="314"/>
      <c r="K12" s="314"/>
    </row>
    <row r="13" spans="1:11" ht="15">
      <c r="A13" s="270">
        <f>'B26'!A11</f>
        <v>4</v>
      </c>
      <c r="B13" s="313" t="str">
        <f>'B26'!B11</f>
        <v>Phòng Văn hóa và Thông tin</v>
      </c>
      <c r="C13" s="314">
        <f t="shared" si="2"/>
        <v>2466</v>
      </c>
      <c r="D13" s="314"/>
      <c r="E13" s="314">
        <f>'B26'!C11</f>
        <v>2466</v>
      </c>
      <c r="F13" s="314"/>
      <c r="G13" s="314"/>
      <c r="H13" s="314">
        <f t="shared" si="3"/>
        <v>0</v>
      </c>
      <c r="I13" s="314"/>
      <c r="J13" s="314"/>
      <c r="K13" s="314"/>
    </row>
    <row r="14" spans="1:11" ht="15">
      <c r="A14" s="270">
        <f>'B26'!A12</f>
        <v>5</v>
      </c>
      <c r="B14" s="313" t="str">
        <f>'B26'!B12</f>
        <v>Phòng LĐ - TB và XH</v>
      </c>
      <c r="C14" s="314">
        <f t="shared" si="2"/>
        <v>129582</v>
      </c>
      <c r="D14" s="314">
        <f>'B25'!C19</f>
        <v>2500</v>
      </c>
      <c r="E14" s="314">
        <f>'B26'!C12</f>
        <v>126862</v>
      </c>
      <c r="F14" s="314"/>
      <c r="G14" s="314"/>
      <c r="H14" s="314">
        <f t="shared" si="3"/>
        <v>220</v>
      </c>
      <c r="I14" s="314"/>
      <c r="J14" s="314">
        <v>220</v>
      </c>
      <c r="K14" s="314"/>
    </row>
    <row r="15" spans="1:11" ht="15">
      <c r="A15" s="270">
        <f>'B26'!A13</f>
        <v>6</v>
      </c>
      <c r="B15" s="313" t="str">
        <f>'B26'!B13</f>
        <v>Phòng Quản lý đô thị</v>
      </c>
      <c r="C15" s="314">
        <f t="shared" si="2"/>
        <v>48799</v>
      </c>
      <c r="D15" s="314"/>
      <c r="E15" s="314">
        <f>'B26'!C13</f>
        <v>48799</v>
      </c>
      <c r="F15" s="314"/>
      <c r="G15" s="314"/>
      <c r="H15" s="314">
        <f t="shared" si="3"/>
        <v>0</v>
      </c>
      <c r="I15" s="314"/>
      <c r="J15" s="314"/>
      <c r="K15" s="314"/>
    </row>
    <row r="16" spans="1:11" ht="15">
      <c r="A16" s="270">
        <f>'B26'!A14</f>
        <v>7</v>
      </c>
      <c r="B16" s="313" t="str">
        <f>'B26'!B14</f>
        <v>Phòng Tài nguyên và Môi trường</v>
      </c>
      <c r="C16" s="314">
        <f t="shared" si="2"/>
        <v>80038</v>
      </c>
      <c r="D16" s="314"/>
      <c r="E16" s="314">
        <f>'B26'!C14</f>
        <v>80038</v>
      </c>
      <c r="F16" s="314"/>
      <c r="G16" s="314"/>
      <c r="H16" s="314">
        <f t="shared" si="3"/>
        <v>0</v>
      </c>
      <c r="I16" s="314"/>
      <c r="J16" s="314"/>
      <c r="K16" s="314"/>
    </row>
    <row r="17" spans="1:11" ht="15">
      <c r="A17" s="270">
        <f>'B26'!A15</f>
        <v>8</v>
      </c>
      <c r="B17" s="313" t="str">
        <f>'B26'!B15</f>
        <v>Phòng Tư pháp</v>
      </c>
      <c r="C17" s="314">
        <f t="shared" si="2"/>
        <v>1843</v>
      </c>
      <c r="D17" s="314"/>
      <c r="E17" s="314">
        <f>'B26'!C15</f>
        <v>1843</v>
      </c>
      <c r="F17" s="314"/>
      <c r="G17" s="314"/>
      <c r="H17" s="314">
        <f t="shared" si="3"/>
        <v>0</v>
      </c>
      <c r="I17" s="314"/>
      <c r="J17" s="314"/>
      <c r="K17" s="314"/>
    </row>
    <row r="18" spans="1:11" ht="15">
      <c r="A18" s="270">
        <f>'B26'!A16</f>
        <v>9</v>
      </c>
      <c r="B18" s="313" t="str">
        <f>'B26'!B16</f>
        <v>Thanh tra</v>
      </c>
      <c r="C18" s="314">
        <f t="shared" si="2"/>
        <v>2101</v>
      </c>
      <c r="D18" s="314"/>
      <c r="E18" s="314">
        <f>'B26'!C16</f>
        <v>2101</v>
      </c>
      <c r="F18" s="314"/>
      <c r="G18" s="314"/>
      <c r="H18" s="314">
        <f t="shared" si="3"/>
        <v>0</v>
      </c>
      <c r="I18" s="314"/>
      <c r="J18" s="314"/>
      <c r="K18" s="314"/>
    </row>
    <row r="19" spans="1:11" ht="15">
      <c r="A19" s="270">
        <f>'B26'!A17</f>
        <v>10</v>
      </c>
      <c r="B19" s="313" t="str">
        <f>'B26'!B17</f>
        <v>Phòng Nội vụ</v>
      </c>
      <c r="C19" s="314">
        <f t="shared" si="2"/>
        <v>13208</v>
      </c>
      <c r="D19" s="314"/>
      <c r="E19" s="314">
        <f>'B26'!C17</f>
        <v>13208</v>
      </c>
      <c r="F19" s="314"/>
      <c r="G19" s="314"/>
      <c r="H19" s="314">
        <f t="shared" si="3"/>
        <v>0</v>
      </c>
      <c r="I19" s="314"/>
      <c r="J19" s="314"/>
      <c r="K19" s="314"/>
    </row>
    <row r="20" spans="1:11" ht="15">
      <c r="A20" s="270">
        <f>'B26'!A18</f>
        <v>11</v>
      </c>
      <c r="B20" s="313" t="str">
        <f>'B26'!B18</f>
        <v>Phòng Giáo dục và Đào tạo</v>
      </c>
      <c r="C20" s="314">
        <f t="shared" si="2"/>
        <v>4191</v>
      </c>
      <c r="D20" s="314"/>
      <c r="E20" s="314">
        <f>'B26'!C18</f>
        <v>4191</v>
      </c>
      <c r="F20" s="314"/>
      <c r="G20" s="314"/>
      <c r="H20" s="314">
        <f t="shared" si="3"/>
        <v>0</v>
      </c>
      <c r="I20" s="314"/>
      <c r="J20" s="314"/>
      <c r="K20" s="314"/>
    </row>
    <row r="21" spans="1:11" ht="15">
      <c r="A21" s="270">
        <f>'B26'!A19</f>
        <v>12</v>
      </c>
      <c r="B21" s="313" t="str">
        <f>'B26'!B19</f>
        <v>Phòng Y tế</v>
      </c>
      <c r="C21" s="314">
        <f t="shared" si="2"/>
        <v>4882</v>
      </c>
      <c r="D21" s="314"/>
      <c r="E21" s="314">
        <f>'B26'!C19</f>
        <v>2232</v>
      </c>
      <c r="F21" s="314"/>
      <c r="G21" s="314"/>
      <c r="H21" s="314">
        <f t="shared" si="3"/>
        <v>2650</v>
      </c>
      <c r="I21" s="314"/>
      <c r="J21" s="314">
        <v>2650</v>
      </c>
      <c r="K21" s="314"/>
    </row>
    <row r="22" spans="1:11" ht="15">
      <c r="A22" s="270">
        <f>'B26'!A20</f>
        <v>13</v>
      </c>
      <c r="B22" s="313" t="str">
        <f>'B26'!B20</f>
        <v>BQL Dự án đầu tư xây dựng khu vực</v>
      </c>
      <c r="C22" s="314">
        <f t="shared" si="2"/>
        <v>158434</v>
      </c>
      <c r="D22" s="314">
        <f>'B25'!C9</f>
        <v>125577</v>
      </c>
      <c r="E22" s="314">
        <f>'B26'!C20</f>
        <v>32857</v>
      </c>
      <c r="F22" s="314"/>
      <c r="G22" s="314"/>
      <c r="H22" s="314">
        <f t="shared" si="3"/>
        <v>0</v>
      </c>
      <c r="I22" s="314"/>
      <c r="J22" s="314"/>
      <c r="K22" s="314"/>
    </row>
    <row r="23" spans="1:11" ht="15">
      <c r="A23" s="270">
        <f>'B26'!A21</f>
        <v>14</v>
      </c>
      <c r="B23" s="313" t="str">
        <f>'B26'!B21</f>
        <v>Trung tâm Y tế</v>
      </c>
      <c r="C23" s="314">
        <f t="shared" si="2"/>
        <v>46872</v>
      </c>
      <c r="D23" s="314"/>
      <c r="E23" s="314">
        <f>'B26'!C21</f>
        <v>45713</v>
      </c>
      <c r="F23" s="314"/>
      <c r="G23" s="314"/>
      <c r="H23" s="314">
        <f t="shared" si="3"/>
        <v>1159</v>
      </c>
      <c r="I23" s="314"/>
      <c r="J23" s="314">
        <v>1159</v>
      </c>
      <c r="K23" s="314"/>
    </row>
    <row r="24" spans="1:11" ht="15">
      <c r="A24" s="270">
        <f>'B26'!A22</f>
        <v>15</v>
      </c>
      <c r="B24" s="313" t="str">
        <f>'B26'!B22</f>
        <v>Bệnh viện</v>
      </c>
      <c r="C24" s="314">
        <f t="shared" si="2"/>
        <v>8972</v>
      </c>
      <c r="D24" s="314"/>
      <c r="E24" s="314">
        <f>'B26'!C22</f>
        <v>8972</v>
      </c>
      <c r="F24" s="314"/>
      <c r="G24" s="314"/>
      <c r="H24" s="314">
        <f t="shared" si="3"/>
        <v>0</v>
      </c>
      <c r="I24" s="314"/>
      <c r="J24" s="314"/>
      <c r="K24" s="314"/>
    </row>
    <row r="25" spans="1:11" ht="15">
      <c r="A25" s="270">
        <f>'B26'!A23</f>
        <v>16</v>
      </c>
      <c r="B25" s="313" t="str">
        <f>'B26'!B23</f>
        <v>Trung tâm Văn hóa</v>
      </c>
      <c r="C25" s="314">
        <f t="shared" si="2"/>
        <v>2529</v>
      </c>
      <c r="D25" s="314"/>
      <c r="E25" s="314">
        <f>'B26'!C23</f>
        <v>2529</v>
      </c>
      <c r="F25" s="314"/>
      <c r="G25" s="314"/>
      <c r="H25" s="314">
        <f t="shared" si="3"/>
        <v>0</v>
      </c>
      <c r="I25" s="314"/>
      <c r="J25" s="314"/>
      <c r="K25" s="314"/>
    </row>
    <row r="26" spans="1:11" ht="15">
      <c r="A26" s="270">
        <f>'B26'!A24</f>
        <v>17</v>
      </c>
      <c r="B26" s="313" t="str">
        <f>'B26'!B24</f>
        <v>Nhà Thiếu nhi</v>
      </c>
      <c r="C26" s="314">
        <f t="shared" si="2"/>
        <v>1480</v>
      </c>
      <c r="D26" s="314"/>
      <c r="E26" s="314">
        <f>'B26'!C24</f>
        <v>1480</v>
      </c>
      <c r="F26" s="314"/>
      <c r="G26" s="314"/>
      <c r="H26" s="314">
        <f t="shared" si="3"/>
        <v>0</v>
      </c>
      <c r="I26" s="314"/>
      <c r="J26" s="314"/>
      <c r="K26" s="314"/>
    </row>
    <row r="27" spans="1:11" ht="15">
      <c r="A27" s="270">
        <f>'B26'!A25</f>
        <v>18</v>
      </c>
      <c r="B27" s="313" t="str">
        <f>'B26'!B25</f>
        <v>Trung tâm Thể dục thể thao</v>
      </c>
      <c r="C27" s="314">
        <f t="shared" si="2"/>
        <v>3546</v>
      </c>
      <c r="D27" s="314">
        <f>'B25'!C12</f>
        <v>802</v>
      </c>
      <c r="E27" s="314">
        <f>'B26'!C25</f>
        <v>2744</v>
      </c>
      <c r="F27" s="314"/>
      <c r="G27" s="314"/>
      <c r="H27" s="314">
        <f t="shared" si="3"/>
        <v>0</v>
      </c>
      <c r="I27" s="314"/>
      <c r="J27" s="314"/>
      <c r="K27" s="314"/>
    </row>
    <row r="28" spans="1:11" ht="15">
      <c r="A28" s="270">
        <f>'B26'!A26</f>
        <v>19</v>
      </c>
      <c r="B28" s="313" t="str">
        <f>'B26'!B26</f>
        <v>Trung tâm Bồi dưỡng chính trị</v>
      </c>
      <c r="C28" s="314">
        <f t="shared" si="2"/>
        <v>2931</v>
      </c>
      <c r="D28" s="314"/>
      <c r="E28" s="314">
        <f>'B26'!C26</f>
        <v>2931</v>
      </c>
      <c r="F28" s="314"/>
      <c r="G28" s="314"/>
      <c r="H28" s="314">
        <f t="shared" si="3"/>
        <v>0</v>
      </c>
      <c r="I28" s="314"/>
      <c r="J28" s="314"/>
      <c r="K28" s="314"/>
    </row>
    <row r="29" spans="1:11" ht="15">
      <c r="A29" s="270">
        <f>'B26'!A27</f>
        <v>20</v>
      </c>
      <c r="B29" s="313" t="str">
        <f>'B26'!B27</f>
        <v>Ban Chỉ huy Quân sự</v>
      </c>
      <c r="C29" s="314">
        <f t="shared" si="2"/>
        <v>8013</v>
      </c>
      <c r="D29" s="314"/>
      <c r="E29" s="314">
        <f>'B26'!C27</f>
        <v>8013</v>
      </c>
      <c r="F29" s="314"/>
      <c r="G29" s="314"/>
      <c r="H29" s="314">
        <f t="shared" si="3"/>
        <v>0</v>
      </c>
      <c r="I29" s="314"/>
      <c r="J29" s="314"/>
      <c r="K29" s="314"/>
    </row>
    <row r="30" spans="1:11" ht="15">
      <c r="A30" s="270">
        <f>'B26'!A28</f>
        <v>21</v>
      </c>
      <c r="B30" s="313" t="str">
        <f>'B26'!B28</f>
        <v>Công an</v>
      </c>
      <c r="C30" s="314">
        <f t="shared" si="2"/>
        <v>4214</v>
      </c>
      <c r="D30" s="314"/>
      <c r="E30" s="314">
        <f>'B26'!C28</f>
        <v>4214</v>
      </c>
      <c r="F30" s="314"/>
      <c r="G30" s="314"/>
      <c r="H30" s="314">
        <f t="shared" si="3"/>
        <v>0</v>
      </c>
      <c r="I30" s="314"/>
      <c r="J30" s="314"/>
      <c r="K30" s="314"/>
    </row>
    <row r="31" spans="1:11" ht="15">
      <c r="A31" s="270">
        <f>'B26'!A29</f>
        <v>22</v>
      </c>
      <c r="B31" s="313" t="str">
        <f>'B26'!B29</f>
        <v>Ủy ban Mặt trận Tổ quốc Việt Nam</v>
      </c>
      <c r="C31" s="314">
        <f t="shared" si="2"/>
        <v>4160</v>
      </c>
      <c r="D31" s="314"/>
      <c r="E31" s="314">
        <f>'B26'!C29</f>
        <v>4160</v>
      </c>
      <c r="F31" s="314"/>
      <c r="G31" s="314"/>
      <c r="H31" s="314">
        <f t="shared" si="3"/>
        <v>0</v>
      </c>
      <c r="I31" s="314"/>
      <c r="J31" s="314"/>
      <c r="K31" s="314"/>
    </row>
    <row r="32" spans="1:11" ht="15">
      <c r="A32" s="270">
        <f>'B26'!A30</f>
        <v>23</v>
      </c>
      <c r="B32" s="313" t="str">
        <f>'B26'!B30</f>
        <v>Quận Đoàn</v>
      </c>
      <c r="C32" s="314">
        <f t="shared" si="2"/>
        <v>3179</v>
      </c>
      <c r="D32" s="314"/>
      <c r="E32" s="314">
        <f>'B26'!C30</f>
        <v>3179</v>
      </c>
      <c r="F32" s="314"/>
      <c r="G32" s="314"/>
      <c r="H32" s="314">
        <f t="shared" si="3"/>
        <v>0</v>
      </c>
      <c r="I32" s="314"/>
      <c r="J32" s="314"/>
      <c r="K32" s="314"/>
    </row>
    <row r="33" spans="1:11" ht="15">
      <c r="A33" s="270">
        <f>'B26'!A31</f>
        <v>24</v>
      </c>
      <c r="B33" s="313" t="str">
        <f>'B26'!B31</f>
        <v>Hội Liên hiệp Phụ nữ</v>
      </c>
      <c r="C33" s="314">
        <f t="shared" si="2"/>
        <v>2434</v>
      </c>
      <c r="D33" s="314"/>
      <c r="E33" s="314">
        <f>'B26'!C31</f>
        <v>2434</v>
      </c>
      <c r="F33" s="314"/>
      <c r="G33" s="314"/>
      <c r="H33" s="314">
        <f t="shared" si="3"/>
        <v>0</v>
      </c>
      <c r="I33" s="314"/>
      <c r="J33" s="314"/>
      <c r="K33" s="314"/>
    </row>
    <row r="34" spans="1:11" ht="15">
      <c r="A34" s="270">
        <f>'B26'!A32</f>
        <v>25</v>
      </c>
      <c r="B34" s="313" t="str">
        <f>'B26'!B32</f>
        <v>Hội Cựu chiến binh</v>
      </c>
      <c r="C34" s="314">
        <f t="shared" si="2"/>
        <v>1313</v>
      </c>
      <c r="D34" s="314"/>
      <c r="E34" s="314">
        <f>'B26'!C32</f>
        <v>1313</v>
      </c>
      <c r="F34" s="314"/>
      <c r="G34" s="314"/>
      <c r="H34" s="314">
        <f t="shared" si="3"/>
        <v>0</v>
      </c>
      <c r="I34" s="314"/>
      <c r="J34" s="314"/>
      <c r="K34" s="314"/>
    </row>
    <row r="35" spans="1:11" ht="15">
      <c r="A35" s="366">
        <f>'B26'!A33</f>
        <v>26</v>
      </c>
      <c r="B35" s="367" t="str">
        <f>'B26'!B33</f>
        <v>Hội Chữ thập đỏ</v>
      </c>
      <c r="C35" s="368">
        <f t="shared" si="2"/>
        <v>994</v>
      </c>
      <c r="D35" s="368"/>
      <c r="E35" s="368">
        <f>'B26'!C33</f>
        <v>994</v>
      </c>
      <c r="F35" s="368"/>
      <c r="G35" s="368"/>
      <c r="H35" s="368">
        <f t="shared" si="3"/>
        <v>0</v>
      </c>
      <c r="I35" s="368"/>
      <c r="J35" s="368"/>
      <c r="K35" s="368"/>
    </row>
    <row r="36" spans="1:11" ht="15">
      <c r="A36" s="366">
        <f>'B26'!A34</f>
        <v>27</v>
      </c>
      <c r="B36" s="367" t="str">
        <f>'B26'!B34</f>
        <v>Trường Mầm non Vườn Hồng</v>
      </c>
      <c r="C36" s="368">
        <f t="shared" si="2"/>
        <v>8747</v>
      </c>
      <c r="D36" s="368"/>
      <c r="E36" s="368">
        <f>'B26'!C34</f>
        <v>8747</v>
      </c>
      <c r="F36" s="368"/>
      <c r="G36" s="368"/>
      <c r="H36" s="368">
        <f t="shared" si="3"/>
        <v>0</v>
      </c>
      <c r="I36" s="368"/>
      <c r="J36" s="368"/>
      <c r="K36" s="368"/>
    </row>
    <row r="37" spans="1:11" ht="15">
      <c r="A37" s="270">
        <f>'B26'!A35</f>
        <v>28</v>
      </c>
      <c r="B37" s="313" t="str">
        <f>'B26'!B35</f>
        <v>Trường Mầm non Việt Nhi</v>
      </c>
      <c r="C37" s="314">
        <f t="shared" si="2"/>
        <v>9424</v>
      </c>
      <c r="D37" s="314"/>
      <c r="E37" s="314">
        <f>'B26'!C35</f>
        <v>9424</v>
      </c>
      <c r="F37" s="314"/>
      <c r="G37" s="314"/>
      <c r="H37" s="314">
        <f t="shared" si="3"/>
        <v>0</v>
      </c>
      <c r="I37" s="314"/>
      <c r="J37" s="314"/>
      <c r="K37" s="314"/>
    </row>
    <row r="38" spans="1:11" ht="15">
      <c r="A38" s="270">
        <f>'B26'!A36</f>
        <v>29</v>
      </c>
      <c r="B38" s="313" t="str">
        <f>'B26'!B36</f>
        <v>Trường Mầm non Bình Minh</v>
      </c>
      <c r="C38" s="314">
        <f t="shared" si="2"/>
        <v>6040</v>
      </c>
      <c r="D38" s="314"/>
      <c r="E38" s="314">
        <f>'B26'!C36</f>
        <v>6040</v>
      </c>
      <c r="F38" s="314"/>
      <c r="G38" s="314"/>
      <c r="H38" s="314">
        <f t="shared" si="3"/>
        <v>0</v>
      </c>
      <c r="I38" s="314"/>
      <c r="J38" s="314"/>
      <c r="K38" s="314"/>
    </row>
    <row r="39" spans="1:11" ht="15">
      <c r="A39" s="270">
        <f>'B26'!A37</f>
        <v>30</v>
      </c>
      <c r="B39" s="313" t="str">
        <f>'B26'!B37</f>
        <v>Trường Mầm non Tuổi Hoa</v>
      </c>
      <c r="C39" s="314">
        <f t="shared" si="2"/>
        <v>8155</v>
      </c>
      <c r="D39" s="314"/>
      <c r="E39" s="314">
        <f>'B26'!C37</f>
        <v>8155</v>
      </c>
      <c r="F39" s="314"/>
      <c r="G39" s="314"/>
      <c r="H39" s="314">
        <f t="shared" si="3"/>
        <v>0</v>
      </c>
      <c r="I39" s="314"/>
      <c r="J39" s="314"/>
      <c r="K39" s="314"/>
    </row>
    <row r="40" spans="1:11" ht="15">
      <c r="A40" s="270">
        <f>'B26'!A38</f>
        <v>31</v>
      </c>
      <c r="B40" s="313" t="str">
        <f>'B26'!B38</f>
        <v>Trường Mầm non Tuổi Thơ</v>
      </c>
      <c r="C40" s="314">
        <f t="shared" si="2"/>
        <v>8013</v>
      </c>
      <c r="D40" s="314"/>
      <c r="E40" s="314">
        <f>'B26'!C38</f>
        <v>8013</v>
      </c>
      <c r="F40" s="314"/>
      <c r="G40" s="314"/>
      <c r="H40" s="314">
        <f t="shared" si="3"/>
        <v>0</v>
      </c>
      <c r="I40" s="314"/>
      <c r="J40" s="314"/>
      <c r="K40" s="314"/>
    </row>
    <row r="41" spans="1:11" ht="15">
      <c r="A41" s="270">
        <f>'B26'!A39</f>
        <v>32</v>
      </c>
      <c r="B41" s="313" t="str">
        <f>'B26'!B39</f>
        <v>Trường Mầm non 19/5</v>
      </c>
      <c r="C41" s="314">
        <f t="shared" si="2"/>
        <v>11600</v>
      </c>
      <c r="D41" s="314"/>
      <c r="E41" s="314">
        <f>'B26'!C39</f>
        <v>11600</v>
      </c>
      <c r="F41" s="314"/>
      <c r="G41" s="314"/>
      <c r="H41" s="314">
        <f t="shared" si="3"/>
        <v>0</v>
      </c>
      <c r="I41" s="314"/>
      <c r="J41" s="314"/>
      <c r="K41" s="314"/>
    </row>
    <row r="42" spans="1:11" ht="15">
      <c r="A42" s="270">
        <f>'B26'!A40</f>
        <v>33</v>
      </c>
      <c r="B42" s="313" t="str">
        <f>'B26'!B40</f>
        <v>Trường Mầm non Tuổi Ngọc</v>
      </c>
      <c r="C42" s="314">
        <f t="shared" si="2"/>
        <v>11144</v>
      </c>
      <c r="D42" s="314"/>
      <c r="E42" s="314">
        <f>'B26'!C40</f>
        <v>11144</v>
      </c>
      <c r="F42" s="314"/>
      <c r="G42" s="314"/>
      <c r="H42" s="314">
        <f t="shared" si="3"/>
        <v>0</v>
      </c>
      <c r="I42" s="314"/>
      <c r="J42" s="314"/>
      <c r="K42" s="314"/>
    </row>
    <row r="43" spans="1:11" ht="15">
      <c r="A43" s="270">
        <f>'B26'!A41</f>
        <v>34</v>
      </c>
      <c r="B43" s="313" t="str">
        <f>'B26'!B41</f>
        <v>Trường Mầm non Thỏ Ngọc</v>
      </c>
      <c r="C43" s="314">
        <f t="shared" si="2"/>
        <v>7849</v>
      </c>
      <c r="D43" s="314"/>
      <c r="E43" s="314">
        <f>'B26'!C41</f>
        <v>7849</v>
      </c>
      <c r="F43" s="314"/>
      <c r="G43" s="314"/>
      <c r="H43" s="314">
        <f t="shared" si="3"/>
        <v>0</v>
      </c>
      <c r="I43" s="314"/>
      <c r="J43" s="314"/>
      <c r="K43" s="314"/>
    </row>
    <row r="44" spans="1:11" ht="15">
      <c r="A44" s="270">
        <f>'B26'!A42</f>
        <v>35</v>
      </c>
      <c r="B44" s="313" t="str">
        <f>'B26'!B42</f>
        <v>Trường Mầm non Vành Khuyên</v>
      </c>
      <c r="C44" s="314">
        <f t="shared" si="2"/>
        <v>5533</v>
      </c>
      <c r="D44" s="314"/>
      <c r="E44" s="314">
        <f>'B26'!C42</f>
        <v>5533</v>
      </c>
      <c r="F44" s="314"/>
      <c r="G44" s="314"/>
      <c r="H44" s="314">
        <f t="shared" si="3"/>
        <v>0</v>
      </c>
      <c r="I44" s="314"/>
      <c r="J44" s="314"/>
      <c r="K44" s="314"/>
    </row>
    <row r="45" spans="1:11" ht="15">
      <c r="A45" s="270">
        <f>'B26'!A43</f>
        <v>36</v>
      </c>
      <c r="B45" s="313" t="str">
        <f>'B26'!B43</f>
        <v>Trường Mầm non Vàng Anh</v>
      </c>
      <c r="C45" s="314">
        <f t="shared" si="2"/>
        <v>7815</v>
      </c>
      <c r="D45" s="314"/>
      <c r="E45" s="314">
        <f>'B26'!C43</f>
        <v>7815</v>
      </c>
      <c r="F45" s="314"/>
      <c r="G45" s="314"/>
      <c r="H45" s="314">
        <f t="shared" si="3"/>
        <v>0</v>
      </c>
      <c r="I45" s="314"/>
      <c r="J45" s="314"/>
      <c r="K45" s="314"/>
    </row>
    <row r="46" spans="1:11" ht="15">
      <c r="A46" s="270">
        <f>'B26'!A44</f>
        <v>37</v>
      </c>
      <c r="B46" s="313" t="str">
        <f>'B26'!B44</f>
        <v>Trường Mầm non Nắng Mai</v>
      </c>
      <c r="C46" s="314">
        <f t="shared" si="2"/>
        <v>5948</v>
      </c>
      <c r="D46" s="314"/>
      <c r="E46" s="314">
        <f>'B26'!C44</f>
        <v>5948</v>
      </c>
      <c r="F46" s="314"/>
      <c r="G46" s="314"/>
      <c r="H46" s="314">
        <f t="shared" si="3"/>
        <v>0</v>
      </c>
      <c r="I46" s="314"/>
      <c r="J46" s="314"/>
      <c r="K46" s="314"/>
    </row>
    <row r="47" spans="1:11" ht="15">
      <c r="A47" s="270">
        <f>'B26'!A45</f>
        <v>38</v>
      </c>
      <c r="B47" s="313" t="str">
        <f>'B26'!B45</f>
        <v>Trường Mầm non Sơn Ca</v>
      </c>
      <c r="C47" s="314">
        <f t="shared" si="2"/>
        <v>4933</v>
      </c>
      <c r="D47" s="314"/>
      <c r="E47" s="314">
        <f>'B26'!C45</f>
        <v>4933</v>
      </c>
      <c r="F47" s="314"/>
      <c r="G47" s="314"/>
      <c r="H47" s="314">
        <f t="shared" si="3"/>
        <v>0</v>
      </c>
      <c r="I47" s="314"/>
      <c r="J47" s="314"/>
      <c r="K47" s="314"/>
    </row>
    <row r="48" spans="1:11" ht="15">
      <c r="A48" s="270">
        <f>'B26'!A46</f>
        <v>39</v>
      </c>
      <c r="B48" s="313" t="str">
        <f>'B26'!B46</f>
        <v>Trường Mầm non Họa Mi</v>
      </c>
      <c r="C48" s="314">
        <f t="shared" si="2"/>
        <v>6236</v>
      </c>
      <c r="D48" s="314"/>
      <c r="E48" s="314">
        <f>'B26'!C46</f>
        <v>6236</v>
      </c>
      <c r="F48" s="314"/>
      <c r="G48" s="314"/>
      <c r="H48" s="314">
        <f t="shared" si="3"/>
        <v>0</v>
      </c>
      <c r="I48" s="314"/>
      <c r="J48" s="314"/>
      <c r="K48" s="314"/>
    </row>
    <row r="49" spans="1:11" ht="15">
      <c r="A49" s="270">
        <f>'B26'!A47</f>
        <v>40</v>
      </c>
      <c r="B49" s="313" t="str">
        <f>'B26'!B47</f>
        <v>Trường Mầm non Kim Đồng</v>
      </c>
      <c r="C49" s="314">
        <f t="shared" si="2"/>
        <v>6572</v>
      </c>
      <c r="D49" s="314"/>
      <c r="E49" s="314">
        <f>'B26'!C47</f>
        <v>6572</v>
      </c>
      <c r="F49" s="314"/>
      <c r="G49" s="314"/>
      <c r="H49" s="314">
        <f t="shared" si="3"/>
        <v>0</v>
      </c>
      <c r="I49" s="314"/>
      <c r="J49" s="314"/>
      <c r="K49" s="314"/>
    </row>
    <row r="50" spans="1:11" ht="15">
      <c r="A50" s="270">
        <f>'B26'!A48</f>
        <v>41</v>
      </c>
      <c r="B50" s="313" t="str">
        <f>'B26'!B48</f>
        <v>Trường Mầm non Bông Hồng</v>
      </c>
      <c r="C50" s="314">
        <f t="shared" si="2"/>
        <v>5922</v>
      </c>
      <c r="D50" s="314"/>
      <c r="E50" s="314">
        <f>'B26'!C48</f>
        <v>5922</v>
      </c>
      <c r="F50" s="314"/>
      <c r="G50" s="314"/>
      <c r="H50" s="314">
        <f t="shared" si="3"/>
        <v>0</v>
      </c>
      <c r="I50" s="314"/>
      <c r="J50" s="314"/>
      <c r="K50" s="314"/>
    </row>
    <row r="51" spans="1:11" ht="15">
      <c r="A51" s="270">
        <f>'B26'!A49</f>
        <v>42</v>
      </c>
      <c r="B51" s="313" t="str">
        <f>'B26'!B49</f>
        <v>Trường Mầm non Bé Ngoan</v>
      </c>
      <c r="C51" s="314">
        <f t="shared" si="2"/>
        <v>5458</v>
      </c>
      <c r="D51" s="314"/>
      <c r="E51" s="314">
        <f>'B26'!C49</f>
        <v>5458</v>
      </c>
      <c r="F51" s="314"/>
      <c r="G51" s="314"/>
      <c r="H51" s="314">
        <f t="shared" si="3"/>
        <v>0</v>
      </c>
      <c r="I51" s="314"/>
      <c r="J51" s="314"/>
      <c r="K51" s="314"/>
    </row>
    <row r="52" spans="1:11" ht="15">
      <c r="A52" s="270">
        <f>'B26'!A50</f>
        <v>43</v>
      </c>
      <c r="B52" s="313" t="str">
        <f>'B26'!B50</f>
        <v>Trường Mầm non Hoa Phượng</v>
      </c>
      <c r="C52" s="314">
        <f t="shared" si="2"/>
        <v>5470</v>
      </c>
      <c r="D52" s="314"/>
      <c r="E52" s="314">
        <f>'B26'!C50</f>
        <v>5470</v>
      </c>
      <c r="F52" s="314"/>
      <c r="G52" s="314"/>
      <c r="H52" s="314">
        <f t="shared" si="3"/>
        <v>0</v>
      </c>
      <c r="I52" s="314"/>
      <c r="J52" s="314"/>
      <c r="K52" s="314"/>
    </row>
    <row r="53" spans="1:11" ht="15">
      <c r="A53" s="270">
        <f>'B26'!A51</f>
        <v>44</v>
      </c>
      <c r="B53" s="313" t="str">
        <f>'B26'!B51</f>
        <v>Trường Mầm non Bông Sen</v>
      </c>
      <c r="C53" s="314">
        <f t="shared" si="2"/>
        <v>7374</v>
      </c>
      <c r="D53" s="314"/>
      <c r="E53" s="314">
        <f>'B26'!C51</f>
        <v>7374</v>
      </c>
      <c r="F53" s="314"/>
      <c r="G53" s="314"/>
      <c r="H53" s="314">
        <f t="shared" si="3"/>
        <v>0</v>
      </c>
      <c r="I53" s="314"/>
      <c r="J53" s="314"/>
      <c r="K53" s="314"/>
    </row>
    <row r="54" spans="1:11" ht="15">
      <c r="A54" s="270">
        <f>'B26'!A52</f>
        <v>45</v>
      </c>
      <c r="B54" s="313" t="str">
        <f>'B26'!B52</f>
        <v>Trường Tiểu học Nguyễn Trực</v>
      </c>
      <c r="C54" s="314">
        <f t="shared" si="2"/>
        <v>5921</v>
      </c>
      <c r="D54" s="314"/>
      <c r="E54" s="314">
        <f>'B26'!C52</f>
        <v>5921</v>
      </c>
      <c r="F54" s="314"/>
      <c r="G54" s="314"/>
      <c r="H54" s="314">
        <f t="shared" si="3"/>
        <v>0</v>
      </c>
      <c r="I54" s="314"/>
      <c r="J54" s="314"/>
      <c r="K54" s="314"/>
    </row>
    <row r="55" spans="1:11" ht="15">
      <c r="A55" s="270">
        <f>'B26'!A53</f>
        <v>46</v>
      </c>
      <c r="B55" s="313" t="str">
        <f>'B26'!B53</f>
        <v>Trường Tiểu học Rạch Ông</v>
      </c>
      <c r="C55" s="314">
        <f t="shared" si="2"/>
        <v>7703</v>
      </c>
      <c r="D55" s="314"/>
      <c r="E55" s="314">
        <f>'B26'!C53</f>
        <v>7703</v>
      </c>
      <c r="F55" s="314"/>
      <c r="G55" s="314"/>
      <c r="H55" s="314">
        <f t="shared" si="3"/>
        <v>0</v>
      </c>
      <c r="I55" s="314"/>
      <c r="J55" s="314"/>
      <c r="K55" s="314"/>
    </row>
    <row r="56" spans="1:11" ht="15">
      <c r="A56" s="270">
        <f>'B26'!A54</f>
        <v>47</v>
      </c>
      <c r="B56" s="313" t="str">
        <f>'B26'!B54</f>
        <v>Trường Tiểu học Âu Dương Lân</v>
      </c>
      <c r="C56" s="314">
        <f t="shared" si="2"/>
        <v>17318</v>
      </c>
      <c r="D56" s="314"/>
      <c r="E56" s="314">
        <f>'B26'!C54</f>
        <v>17318</v>
      </c>
      <c r="F56" s="314"/>
      <c r="G56" s="314"/>
      <c r="H56" s="314">
        <f t="shared" si="3"/>
        <v>0</v>
      </c>
      <c r="I56" s="314"/>
      <c r="J56" s="314"/>
      <c r="K56" s="314"/>
    </row>
    <row r="57" spans="1:11" ht="15">
      <c r="A57" s="270">
        <f>'B26'!A55</f>
        <v>48</v>
      </c>
      <c r="B57" s="313" t="str">
        <f>'B26'!B55</f>
        <v>Trường Tiểu học Vàm Cỏ Đông</v>
      </c>
      <c r="C57" s="314">
        <f t="shared" si="2"/>
        <v>9860</v>
      </c>
      <c r="D57" s="314"/>
      <c r="E57" s="314">
        <f>'B26'!C55</f>
        <v>9860</v>
      </c>
      <c r="F57" s="314"/>
      <c r="G57" s="314"/>
      <c r="H57" s="314">
        <f t="shared" si="3"/>
        <v>0</v>
      </c>
      <c r="I57" s="314"/>
      <c r="J57" s="314"/>
      <c r="K57" s="314"/>
    </row>
    <row r="58" spans="1:11" ht="15">
      <c r="A58" s="270">
        <f>'B26'!A56</f>
        <v>49</v>
      </c>
      <c r="B58" s="313" t="str">
        <f>'B26'!B56</f>
        <v>Trường Tiểu học Thái Hưng</v>
      </c>
      <c r="C58" s="314">
        <f t="shared" si="2"/>
        <v>9421</v>
      </c>
      <c r="D58" s="314"/>
      <c r="E58" s="314">
        <f>'B26'!C56</f>
        <v>9421</v>
      </c>
      <c r="F58" s="314"/>
      <c r="G58" s="314"/>
      <c r="H58" s="314">
        <f t="shared" si="3"/>
        <v>0</v>
      </c>
      <c r="I58" s="314"/>
      <c r="J58" s="314"/>
      <c r="K58" s="314"/>
    </row>
    <row r="59" spans="1:11" ht="15">
      <c r="A59" s="270">
        <f>'B26'!A57</f>
        <v>50</v>
      </c>
      <c r="B59" s="313" t="str">
        <f>'B26'!B57</f>
        <v>Trường Tiểu học Hoàng Minh Đạo</v>
      </c>
      <c r="C59" s="314">
        <f t="shared" si="2"/>
        <v>7330</v>
      </c>
      <c r="D59" s="314"/>
      <c r="E59" s="314">
        <f>'B26'!C57</f>
        <v>7330</v>
      </c>
      <c r="F59" s="314"/>
      <c r="G59" s="314"/>
      <c r="H59" s="314">
        <f t="shared" si="3"/>
        <v>0</v>
      </c>
      <c r="I59" s="314"/>
      <c r="J59" s="314"/>
      <c r="K59" s="314"/>
    </row>
    <row r="60" spans="1:11" ht="15">
      <c r="A60" s="270">
        <f>'B26'!A58</f>
        <v>51</v>
      </c>
      <c r="B60" s="313" t="str">
        <f>'B26'!B58</f>
        <v>Trường Tiểu học Bông Sao</v>
      </c>
      <c r="C60" s="314">
        <f t="shared" si="2"/>
        <v>17678</v>
      </c>
      <c r="D60" s="314"/>
      <c r="E60" s="314">
        <f>'B26'!C58</f>
        <v>17678</v>
      </c>
      <c r="F60" s="314"/>
      <c r="G60" s="314"/>
      <c r="H60" s="314">
        <f t="shared" si="3"/>
        <v>0</v>
      </c>
      <c r="I60" s="314"/>
      <c r="J60" s="314"/>
      <c r="K60" s="314"/>
    </row>
    <row r="61" spans="1:11" ht="15">
      <c r="A61" s="270">
        <f>'B26'!A59</f>
        <v>52</v>
      </c>
      <c r="B61" s="313" t="str">
        <f>'B26'!B59</f>
        <v>Trường Tiểu học Phan Đăng Lưu </v>
      </c>
      <c r="C61" s="314">
        <f t="shared" si="2"/>
        <v>9427</v>
      </c>
      <c r="D61" s="314"/>
      <c r="E61" s="314">
        <f>'B26'!C59</f>
        <v>9427</v>
      </c>
      <c r="F61" s="314"/>
      <c r="G61" s="314"/>
      <c r="H61" s="314">
        <f t="shared" si="3"/>
        <v>0</v>
      </c>
      <c r="I61" s="314"/>
      <c r="J61" s="314"/>
      <c r="K61" s="314"/>
    </row>
    <row r="62" spans="1:11" ht="15">
      <c r="A62" s="270">
        <f>'B26'!A60</f>
        <v>53</v>
      </c>
      <c r="B62" s="313" t="str">
        <f>'B26'!B60</f>
        <v>Trường Tiểu học Bùi Minh Trực</v>
      </c>
      <c r="C62" s="314">
        <f t="shared" si="2"/>
        <v>7431</v>
      </c>
      <c r="D62" s="314"/>
      <c r="E62" s="314">
        <f>'B26'!C60</f>
        <v>7431</v>
      </c>
      <c r="F62" s="314"/>
      <c r="G62" s="314"/>
      <c r="H62" s="314">
        <f t="shared" si="3"/>
        <v>0</v>
      </c>
      <c r="I62" s="314"/>
      <c r="J62" s="314"/>
      <c r="K62" s="314"/>
    </row>
    <row r="63" spans="1:11" ht="15">
      <c r="A63" s="270">
        <f>'B26'!A61</f>
        <v>54</v>
      </c>
      <c r="B63" s="313" t="str">
        <f>'B26'!B61</f>
        <v>Trường Tiểu học Nguyễn Trung Ngạn</v>
      </c>
      <c r="C63" s="314">
        <f t="shared" si="2"/>
        <v>8977</v>
      </c>
      <c r="D63" s="314"/>
      <c r="E63" s="314">
        <f>'B26'!C61</f>
        <v>8977</v>
      </c>
      <c r="F63" s="314"/>
      <c r="G63" s="314"/>
      <c r="H63" s="314">
        <f t="shared" si="3"/>
        <v>0</v>
      </c>
      <c r="I63" s="314"/>
      <c r="J63" s="314"/>
      <c r="K63" s="314"/>
    </row>
    <row r="64" spans="1:11" ht="15">
      <c r="A64" s="270">
        <f>'B26'!A62</f>
        <v>55</v>
      </c>
      <c r="B64" s="313" t="str">
        <f>'B26'!B62</f>
        <v>Trường Tiểu học An Phong</v>
      </c>
      <c r="C64" s="314">
        <f t="shared" si="2"/>
        <v>9021</v>
      </c>
      <c r="D64" s="314"/>
      <c r="E64" s="314">
        <f>'B26'!C62</f>
        <v>9021</v>
      </c>
      <c r="F64" s="314"/>
      <c r="G64" s="314"/>
      <c r="H64" s="314">
        <f t="shared" si="3"/>
        <v>0</v>
      </c>
      <c r="I64" s="314"/>
      <c r="J64" s="314"/>
      <c r="K64" s="314"/>
    </row>
    <row r="65" spans="1:11" ht="15">
      <c r="A65" s="270">
        <f>'B26'!A63</f>
        <v>56</v>
      </c>
      <c r="B65" s="313" t="str">
        <f>'B26'!B63</f>
        <v>Trường Tiểu học Trần Danh Lâm</v>
      </c>
      <c r="C65" s="314">
        <f t="shared" si="2"/>
        <v>10484</v>
      </c>
      <c r="D65" s="314"/>
      <c r="E65" s="314">
        <f>'B26'!C63</f>
        <v>10484</v>
      </c>
      <c r="F65" s="314"/>
      <c r="G65" s="314"/>
      <c r="H65" s="314">
        <f t="shared" si="3"/>
        <v>0</v>
      </c>
      <c r="I65" s="314"/>
      <c r="J65" s="314"/>
      <c r="K65" s="314"/>
    </row>
    <row r="66" spans="1:11" ht="15">
      <c r="A66" s="270">
        <f>'B26'!A64</f>
        <v>57</v>
      </c>
      <c r="B66" s="313" t="str">
        <f>'B26'!B64</f>
        <v>Trường Tiểu học Lý Nhân Tông</v>
      </c>
      <c r="C66" s="314">
        <f t="shared" si="2"/>
        <v>7781</v>
      </c>
      <c r="D66" s="314"/>
      <c r="E66" s="314">
        <f>'B26'!C64</f>
        <v>7781</v>
      </c>
      <c r="F66" s="314"/>
      <c r="G66" s="314"/>
      <c r="H66" s="314">
        <f t="shared" si="3"/>
        <v>0</v>
      </c>
      <c r="I66" s="314"/>
      <c r="J66" s="314"/>
      <c r="K66" s="314"/>
    </row>
    <row r="67" spans="1:11" ht="15">
      <c r="A67" s="270">
        <f>'B26'!A65</f>
        <v>58</v>
      </c>
      <c r="B67" s="313" t="str">
        <f>'B26'!B65</f>
        <v>Trường Tiểu học Hưng Phú</v>
      </c>
      <c r="C67" s="314">
        <f t="shared" si="2"/>
        <v>9320</v>
      </c>
      <c r="D67" s="314"/>
      <c r="E67" s="314">
        <f>'B26'!C65</f>
        <v>9320</v>
      </c>
      <c r="F67" s="314"/>
      <c r="G67" s="314"/>
      <c r="H67" s="314">
        <f t="shared" si="3"/>
        <v>0</v>
      </c>
      <c r="I67" s="314"/>
      <c r="J67" s="314"/>
      <c r="K67" s="314"/>
    </row>
    <row r="68" spans="1:11" ht="15">
      <c r="A68" s="366">
        <f>'B26'!A66</f>
        <v>59</v>
      </c>
      <c r="B68" s="367" t="str">
        <f>'B26'!B66</f>
        <v>Trường Tiểu học Lý Thái Tổ</v>
      </c>
      <c r="C68" s="368">
        <f t="shared" si="2"/>
        <v>5053</v>
      </c>
      <c r="D68" s="368"/>
      <c r="E68" s="368">
        <f>'B26'!C66</f>
        <v>5053</v>
      </c>
      <c r="F68" s="368"/>
      <c r="G68" s="368"/>
      <c r="H68" s="368">
        <f t="shared" si="3"/>
        <v>0</v>
      </c>
      <c r="I68" s="368"/>
      <c r="J68" s="368"/>
      <c r="K68" s="368"/>
    </row>
    <row r="69" spans="1:11" ht="15">
      <c r="A69" s="366">
        <f>'B26'!A67</f>
        <v>60</v>
      </c>
      <c r="B69" s="367" t="str">
        <f>'B26'!B67</f>
        <v>Trường Tiểu học Tuy Lý Vương</v>
      </c>
      <c r="C69" s="368">
        <f t="shared" si="2"/>
        <v>13443</v>
      </c>
      <c r="D69" s="368"/>
      <c r="E69" s="368">
        <f>'B26'!C67</f>
        <v>13443</v>
      </c>
      <c r="F69" s="368"/>
      <c r="G69" s="368"/>
      <c r="H69" s="368">
        <f t="shared" si="3"/>
        <v>0</v>
      </c>
      <c r="I69" s="368"/>
      <c r="J69" s="368"/>
      <c r="K69" s="368"/>
    </row>
    <row r="70" spans="1:11" ht="15">
      <c r="A70" s="270">
        <f>'B26'!A68</f>
        <v>61</v>
      </c>
      <c r="B70" s="313" t="str">
        <f>'B26'!B68</f>
        <v>Trường Tiểu học Trần Nguyên Hãn</v>
      </c>
      <c r="C70" s="314">
        <f t="shared" si="2"/>
        <v>11444</v>
      </c>
      <c r="D70" s="314"/>
      <c r="E70" s="314">
        <f>'B26'!C68</f>
        <v>11444</v>
      </c>
      <c r="F70" s="314"/>
      <c r="G70" s="314"/>
      <c r="H70" s="314">
        <f t="shared" si="3"/>
        <v>0</v>
      </c>
      <c r="I70" s="314"/>
      <c r="J70" s="314"/>
      <c r="K70" s="314"/>
    </row>
    <row r="71" spans="1:11" ht="15">
      <c r="A71" s="270">
        <f>'B26'!A69</f>
        <v>62</v>
      </c>
      <c r="B71" s="313" t="str">
        <f>'B26'!B69</f>
        <v>Trường Tiểu học Hồng Đức</v>
      </c>
      <c r="C71" s="314">
        <f t="shared" si="2"/>
        <v>6513</v>
      </c>
      <c r="D71" s="314"/>
      <c r="E71" s="314">
        <f>'B26'!C69</f>
        <v>6513</v>
      </c>
      <c r="F71" s="314"/>
      <c r="G71" s="314"/>
      <c r="H71" s="314">
        <f t="shared" si="3"/>
        <v>0</v>
      </c>
      <c r="I71" s="314"/>
      <c r="J71" s="314"/>
      <c r="K71" s="314"/>
    </row>
    <row r="72" spans="1:11" ht="15">
      <c r="A72" s="270">
        <f>'B26'!A70</f>
        <v>63</v>
      </c>
      <c r="B72" s="313" t="str">
        <f>'B26'!B70</f>
        <v>Trường Tiểu học Nguyễn Nhược Thị</v>
      </c>
      <c r="C72" s="314">
        <f t="shared" si="2"/>
        <v>10767</v>
      </c>
      <c r="D72" s="314"/>
      <c r="E72" s="314">
        <f>'B26'!C70</f>
        <v>10767</v>
      </c>
      <c r="F72" s="314"/>
      <c r="G72" s="314"/>
      <c r="H72" s="314">
        <f t="shared" si="3"/>
        <v>0</v>
      </c>
      <c r="I72" s="314"/>
      <c r="J72" s="314"/>
      <c r="K72" s="314"/>
    </row>
    <row r="73" spans="1:11" ht="15">
      <c r="A73" s="270">
        <f>'B26'!A71</f>
        <v>64</v>
      </c>
      <c r="B73" s="313" t="str">
        <f>'B26'!B71</f>
        <v>Trường Tiểu học Lưu Hữu Phước</v>
      </c>
      <c r="C73" s="314">
        <f t="shared" si="2"/>
        <v>7346</v>
      </c>
      <c r="D73" s="314"/>
      <c r="E73" s="314">
        <f>'B26'!C71</f>
        <v>7346</v>
      </c>
      <c r="F73" s="314"/>
      <c r="G73" s="314"/>
      <c r="H73" s="314">
        <f t="shared" si="3"/>
        <v>0</v>
      </c>
      <c r="I73" s="314"/>
      <c r="J73" s="314"/>
      <c r="K73" s="314"/>
    </row>
    <row r="74" spans="1:11" ht="15">
      <c r="A74" s="270">
        <f>'B26'!A72</f>
        <v>65</v>
      </c>
      <c r="B74" s="313" t="str">
        <f>'B26'!B72</f>
        <v>Trường Tiểu học Nguyễn Công Trứ</v>
      </c>
      <c r="C74" s="314">
        <f t="shared" si="2"/>
        <v>12719</v>
      </c>
      <c r="D74" s="314"/>
      <c r="E74" s="314">
        <f>'B26'!C72</f>
        <v>12719</v>
      </c>
      <c r="F74" s="314"/>
      <c r="G74" s="314"/>
      <c r="H74" s="314">
        <f t="shared" si="3"/>
        <v>0</v>
      </c>
      <c r="I74" s="314"/>
      <c r="J74" s="314"/>
      <c r="K74" s="314"/>
    </row>
    <row r="75" spans="1:11" ht="15">
      <c r="A75" s="270">
        <f>'B26'!A73</f>
        <v>66</v>
      </c>
      <c r="B75" s="313" t="str">
        <f>'B26'!B73</f>
        <v>Trường Hy Vọng Quận 8</v>
      </c>
      <c r="C75" s="314">
        <f aca="true" t="shared" si="4" ref="C75:C129">SUM(D75:H75,K75)</f>
        <v>2874</v>
      </c>
      <c r="D75" s="314"/>
      <c r="E75" s="314">
        <f>'B26'!C73</f>
        <v>2874</v>
      </c>
      <c r="F75" s="314"/>
      <c r="G75" s="314"/>
      <c r="H75" s="314">
        <f aca="true" t="shared" si="5" ref="H75:H125">SUM(I75:J75)</f>
        <v>0</v>
      </c>
      <c r="I75" s="314"/>
      <c r="J75" s="314"/>
      <c r="K75" s="314"/>
    </row>
    <row r="76" spans="1:11" ht="15">
      <c r="A76" s="270">
        <f>'B26'!A74</f>
        <v>67</v>
      </c>
      <c r="B76" s="313" t="str">
        <f>'B26'!B74</f>
        <v>Trường THCS Dương Bá Trạc</v>
      </c>
      <c r="C76" s="314">
        <f t="shared" si="4"/>
        <v>12983</v>
      </c>
      <c r="D76" s="314"/>
      <c r="E76" s="314">
        <f>'B26'!C74</f>
        <v>12983</v>
      </c>
      <c r="F76" s="314"/>
      <c r="G76" s="314"/>
      <c r="H76" s="314">
        <f t="shared" si="5"/>
        <v>0</v>
      </c>
      <c r="I76" s="314"/>
      <c r="J76" s="314"/>
      <c r="K76" s="314"/>
    </row>
    <row r="77" spans="1:11" ht="15">
      <c r="A77" s="270">
        <f>'B26'!A75</f>
        <v>68</v>
      </c>
      <c r="B77" s="313" t="str">
        <f>'B26'!B75</f>
        <v>Trường THCS Khánh Bình</v>
      </c>
      <c r="C77" s="314">
        <f t="shared" si="4"/>
        <v>7649</v>
      </c>
      <c r="D77" s="314"/>
      <c r="E77" s="314">
        <f>'B26'!C75</f>
        <v>7649</v>
      </c>
      <c r="F77" s="314"/>
      <c r="G77" s="314"/>
      <c r="H77" s="314">
        <f t="shared" si="5"/>
        <v>0</v>
      </c>
      <c r="I77" s="314"/>
      <c r="J77" s="314"/>
      <c r="K77" s="314"/>
    </row>
    <row r="78" spans="1:11" ht="15">
      <c r="A78" s="270">
        <f>'B26'!A76</f>
        <v>69</v>
      </c>
      <c r="B78" s="313" t="str">
        <f>'B26'!B76</f>
        <v>Trường THCS Chánh Hưng</v>
      </c>
      <c r="C78" s="314">
        <f t="shared" si="4"/>
        <v>20810</v>
      </c>
      <c r="D78" s="314"/>
      <c r="E78" s="314">
        <f>'B26'!C76</f>
        <v>20810</v>
      </c>
      <c r="F78" s="314"/>
      <c r="G78" s="314"/>
      <c r="H78" s="314">
        <f t="shared" si="5"/>
        <v>0</v>
      </c>
      <c r="I78" s="314"/>
      <c r="J78" s="314"/>
      <c r="K78" s="314"/>
    </row>
    <row r="79" spans="1:11" ht="15">
      <c r="A79" s="270">
        <f>'B26'!A77</f>
        <v>70</v>
      </c>
      <c r="B79" s="313" t="str">
        <f>'B26'!B77</f>
        <v>Trường THCS Sương Nguyệt Anh</v>
      </c>
      <c r="C79" s="314">
        <f t="shared" si="4"/>
        <v>11511</v>
      </c>
      <c r="D79" s="314"/>
      <c r="E79" s="314">
        <f>'B26'!C77</f>
        <v>11511</v>
      </c>
      <c r="F79" s="314"/>
      <c r="G79" s="314"/>
      <c r="H79" s="314">
        <f t="shared" si="5"/>
        <v>0</v>
      </c>
      <c r="I79" s="314"/>
      <c r="J79" s="314"/>
      <c r="K79" s="314"/>
    </row>
    <row r="80" spans="1:11" ht="15">
      <c r="A80" s="270">
        <f>'B26'!A78</f>
        <v>71</v>
      </c>
      <c r="B80" s="313" t="str">
        <f>'B26'!B78</f>
        <v>Trường THCS Phan Đăng Lưu </v>
      </c>
      <c r="C80" s="314">
        <f t="shared" si="4"/>
        <v>8434</v>
      </c>
      <c r="D80" s="314"/>
      <c r="E80" s="314">
        <f>'B26'!C78</f>
        <v>8434</v>
      </c>
      <c r="F80" s="314"/>
      <c r="G80" s="314"/>
      <c r="H80" s="314">
        <f t="shared" si="5"/>
        <v>0</v>
      </c>
      <c r="I80" s="314"/>
      <c r="J80" s="314"/>
      <c r="K80" s="314"/>
    </row>
    <row r="81" spans="1:11" ht="15">
      <c r="A81" s="270">
        <f>'B26'!A79</f>
        <v>72</v>
      </c>
      <c r="B81" s="313" t="str">
        <f>'B26'!B79</f>
        <v>Trường THCS Tùng Thiện Vương</v>
      </c>
      <c r="C81" s="314">
        <f t="shared" si="4"/>
        <v>18303</v>
      </c>
      <c r="D81" s="314"/>
      <c r="E81" s="314">
        <f>'B26'!C79</f>
        <v>18303</v>
      </c>
      <c r="F81" s="314"/>
      <c r="G81" s="314"/>
      <c r="H81" s="314">
        <f t="shared" si="5"/>
        <v>0</v>
      </c>
      <c r="I81" s="314"/>
      <c r="J81" s="314"/>
      <c r="K81" s="314"/>
    </row>
    <row r="82" spans="1:11" ht="15">
      <c r="A82" s="270">
        <f>'B26'!A80</f>
        <v>73</v>
      </c>
      <c r="B82" s="313" t="str">
        <f>'B26'!B80</f>
        <v>Trường THCS Lê Lai</v>
      </c>
      <c r="C82" s="314">
        <f t="shared" si="4"/>
        <v>13522</v>
      </c>
      <c r="D82" s="314"/>
      <c r="E82" s="314">
        <f>'B26'!C80</f>
        <v>13522</v>
      </c>
      <c r="F82" s="314"/>
      <c r="G82" s="314"/>
      <c r="H82" s="314">
        <f t="shared" si="5"/>
        <v>0</v>
      </c>
      <c r="I82" s="314"/>
      <c r="J82" s="314"/>
      <c r="K82" s="314"/>
    </row>
    <row r="83" spans="1:11" ht="15">
      <c r="A83" s="270">
        <f>'B26'!A81</f>
        <v>74</v>
      </c>
      <c r="B83" s="313" t="str">
        <f>'B26'!B81</f>
        <v>Trường THCS Trần Danh Ninh</v>
      </c>
      <c r="C83" s="314">
        <f t="shared" si="4"/>
        <v>6026</v>
      </c>
      <c r="D83" s="314"/>
      <c r="E83" s="314">
        <f>'B26'!C81</f>
        <v>6026</v>
      </c>
      <c r="F83" s="314"/>
      <c r="G83" s="314"/>
      <c r="H83" s="314">
        <f t="shared" si="5"/>
        <v>0</v>
      </c>
      <c r="I83" s="314"/>
      <c r="J83" s="314"/>
      <c r="K83" s="314"/>
    </row>
    <row r="84" spans="1:11" ht="15">
      <c r="A84" s="270">
        <f>'B26'!A82</f>
        <v>75</v>
      </c>
      <c r="B84" s="313" t="str">
        <f>'B26'!B82</f>
        <v>Trường THCS Bình An</v>
      </c>
      <c r="C84" s="314">
        <f t="shared" si="4"/>
        <v>11768</v>
      </c>
      <c r="D84" s="314"/>
      <c r="E84" s="314">
        <f>'B26'!C82</f>
        <v>11768</v>
      </c>
      <c r="F84" s="314"/>
      <c r="G84" s="314"/>
      <c r="H84" s="314">
        <f t="shared" si="5"/>
        <v>0</v>
      </c>
      <c r="I84" s="314"/>
      <c r="J84" s="314"/>
      <c r="K84" s="314"/>
    </row>
    <row r="85" spans="1:11" ht="15">
      <c r="A85" s="270">
        <f>'B26'!A83</f>
        <v>76</v>
      </c>
      <c r="B85" s="313" t="str">
        <f>'B26'!B83</f>
        <v>Trường THCS Bình Đông</v>
      </c>
      <c r="C85" s="314">
        <f t="shared" si="4"/>
        <v>13068</v>
      </c>
      <c r="D85" s="314"/>
      <c r="E85" s="314">
        <f>'B26'!C83</f>
        <v>13068</v>
      </c>
      <c r="F85" s="314"/>
      <c r="G85" s="314"/>
      <c r="H85" s="314">
        <f t="shared" si="5"/>
        <v>0</v>
      </c>
      <c r="I85" s="314"/>
      <c r="J85" s="314"/>
      <c r="K85" s="314"/>
    </row>
    <row r="86" spans="1:11" ht="15">
      <c r="A86" s="270">
        <f>'B26'!A84</f>
        <v>77</v>
      </c>
      <c r="B86" s="313" t="str">
        <f>'B26'!B84</f>
        <v>Trường THCS Lý Thánh Tông</v>
      </c>
      <c r="C86" s="314">
        <f t="shared" si="4"/>
        <v>12715</v>
      </c>
      <c r="D86" s="314"/>
      <c r="E86" s="314">
        <f>'B26'!C84</f>
        <v>12715</v>
      </c>
      <c r="F86" s="314"/>
      <c r="G86" s="314"/>
      <c r="H86" s="314">
        <f t="shared" si="5"/>
        <v>0</v>
      </c>
      <c r="I86" s="314"/>
      <c r="J86" s="314"/>
      <c r="K86" s="314"/>
    </row>
    <row r="87" spans="1:11" ht="15">
      <c r="A87" s="270">
        <f>'B26'!A85</f>
        <v>78</v>
      </c>
      <c r="B87" s="313" t="str">
        <f>'B26'!B85</f>
        <v>Trường THCS Phú Lợi</v>
      </c>
      <c r="C87" s="314">
        <f t="shared" si="4"/>
        <v>4323</v>
      </c>
      <c r="D87" s="314"/>
      <c r="E87" s="314">
        <f>'B26'!C85</f>
        <v>4323</v>
      </c>
      <c r="F87" s="314"/>
      <c r="G87" s="314"/>
      <c r="H87" s="314">
        <f t="shared" si="5"/>
        <v>0</v>
      </c>
      <c r="I87" s="314"/>
      <c r="J87" s="314"/>
      <c r="K87" s="314"/>
    </row>
    <row r="88" spans="1:11" ht="15">
      <c r="A88" s="270">
        <f>'B26'!A86</f>
        <v>79</v>
      </c>
      <c r="B88" s="313" t="str">
        <f>'B26'!B86</f>
        <v>Trường BDNV giáo dục</v>
      </c>
      <c r="C88" s="314">
        <f t="shared" si="4"/>
        <v>4949</v>
      </c>
      <c r="D88" s="314"/>
      <c r="E88" s="314">
        <f>'B26'!C86</f>
        <v>4949</v>
      </c>
      <c r="F88" s="314"/>
      <c r="G88" s="314"/>
      <c r="H88" s="314">
        <f t="shared" si="5"/>
        <v>0</v>
      </c>
      <c r="I88" s="314"/>
      <c r="J88" s="314"/>
      <c r="K88" s="314"/>
    </row>
    <row r="89" spans="1:11" ht="15">
      <c r="A89" s="270">
        <f>'B26'!A87</f>
        <v>80</v>
      </c>
      <c r="B89" s="313" t="str">
        <f>'B26'!B87</f>
        <v>Trung tâm GD nghề nghiệp - GDTX</v>
      </c>
      <c r="C89" s="314">
        <f t="shared" si="4"/>
        <v>6526</v>
      </c>
      <c r="D89" s="314"/>
      <c r="E89" s="314">
        <f>'B26'!C87</f>
        <v>6526</v>
      </c>
      <c r="F89" s="314"/>
      <c r="G89" s="314"/>
      <c r="H89" s="314">
        <f t="shared" si="5"/>
        <v>0</v>
      </c>
      <c r="I89" s="314"/>
      <c r="J89" s="314"/>
      <c r="K89" s="314"/>
    </row>
    <row r="90" spans="1:11" ht="15">
      <c r="A90" s="270">
        <f>'B26'!A88</f>
        <v>81</v>
      </c>
      <c r="B90" s="313" t="str">
        <f>'B26'!B88</f>
        <v>Hội Khuyến học</v>
      </c>
      <c r="C90" s="314">
        <f t="shared" si="4"/>
        <v>264</v>
      </c>
      <c r="D90" s="314"/>
      <c r="E90" s="314">
        <f>'B26'!C88</f>
        <v>264</v>
      </c>
      <c r="F90" s="314"/>
      <c r="G90" s="314"/>
      <c r="H90" s="314">
        <f t="shared" si="5"/>
        <v>0</v>
      </c>
      <c r="I90" s="314"/>
      <c r="J90" s="314"/>
      <c r="K90" s="314"/>
    </row>
    <row r="91" spans="1:11" ht="15">
      <c r="A91" s="270">
        <f>'B26'!A89</f>
        <v>82</v>
      </c>
      <c r="B91" s="313" t="str">
        <f>'B26'!B89</f>
        <v>Hội Đông y</v>
      </c>
      <c r="C91" s="314">
        <f t="shared" si="4"/>
        <v>62</v>
      </c>
      <c r="D91" s="314"/>
      <c r="E91" s="314">
        <f>'B26'!C89</f>
        <v>62</v>
      </c>
      <c r="F91" s="314"/>
      <c r="G91" s="314"/>
      <c r="H91" s="314">
        <f t="shared" si="5"/>
        <v>0</v>
      </c>
      <c r="I91" s="314"/>
      <c r="J91" s="314"/>
      <c r="K91" s="314"/>
    </row>
    <row r="92" spans="1:11" ht="15">
      <c r="A92" s="270">
        <f>'B26'!A90</f>
        <v>83</v>
      </c>
      <c r="B92" s="313" t="str">
        <f>'B26'!B90</f>
        <v>Hội Luật gia</v>
      </c>
      <c r="C92" s="314">
        <f t="shared" si="4"/>
        <v>259</v>
      </c>
      <c r="D92" s="314"/>
      <c r="E92" s="314">
        <f>'B26'!C90</f>
        <v>259</v>
      </c>
      <c r="F92" s="314"/>
      <c r="G92" s="314"/>
      <c r="H92" s="314">
        <f t="shared" si="5"/>
        <v>0</v>
      </c>
      <c r="I92" s="314"/>
      <c r="J92" s="314"/>
      <c r="K92" s="314"/>
    </row>
    <row r="93" spans="1:11" ht="15">
      <c r="A93" s="270">
        <f>'B26'!A91</f>
        <v>84</v>
      </c>
      <c r="B93" s="313" t="str">
        <f>'B26'!B91</f>
        <v>Hội Cựu thanh niên xung phong</v>
      </c>
      <c r="C93" s="314">
        <f t="shared" si="4"/>
        <v>181</v>
      </c>
      <c r="D93" s="314"/>
      <c r="E93" s="314">
        <f>'B26'!C91</f>
        <v>181</v>
      </c>
      <c r="F93" s="314"/>
      <c r="G93" s="314"/>
      <c r="H93" s="314">
        <f t="shared" si="5"/>
        <v>0</v>
      </c>
      <c r="I93" s="314"/>
      <c r="J93" s="314"/>
      <c r="K93" s="314"/>
    </row>
    <row r="94" spans="1:11" ht="15">
      <c r="A94" s="270">
        <f>'B26'!A92</f>
        <v>85</v>
      </c>
      <c r="B94" s="313" t="str">
        <f>'B26'!B92</f>
        <v>Hội Người mù</v>
      </c>
      <c r="C94" s="314">
        <f t="shared" si="4"/>
        <v>73</v>
      </c>
      <c r="D94" s="314"/>
      <c r="E94" s="314">
        <f>'B26'!C92</f>
        <v>73</v>
      </c>
      <c r="F94" s="314"/>
      <c r="G94" s="314"/>
      <c r="H94" s="314">
        <f t="shared" si="5"/>
        <v>0</v>
      </c>
      <c r="I94" s="314"/>
      <c r="J94" s="314"/>
      <c r="K94" s="314"/>
    </row>
    <row r="95" spans="1:11" ht="15">
      <c r="A95" s="270">
        <f>'B26'!A93</f>
        <v>86</v>
      </c>
      <c r="B95" s="313" t="str">
        <f>'B26'!B93</f>
        <v>Hội Cựu giáo chức</v>
      </c>
      <c r="C95" s="314">
        <f t="shared" si="4"/>
        <v>41</v>
      </c>
      <c r="D95" s="314"/>
      <c r="E95" s="314">
        <f>'B26'!C93</f>
        <v>41</v>
      </c>
      <c r="F95" s="314"/>
      <c r="G95" s="314"/>
      <c r="H95" s="314">
        <f t="shared" si="5"/>
        <v>0</v>
      </c>
      <c r="I95" s="314"/>
      <c r="J95" s="314"/>
      <c r="K95" s="314"/>
    </row>
    <row r="96" spans="1:11" ht="15">
      <c r="A96" s="270">
        <f>'B26'!A94</f>
        <v>87</v>
      </c>
      <c r="B96" s="313" t="str">
        <f>'B26'!B94</f>
        <v>Bảo hiểm xã hội Quận 8</v>
      </c>
      <c r="C96" s="314">
        <f t="shared" si="4"/>
        <v>17205</v>
      </c>
      <c r="D96" s="314"/>
      <c r="E96" s="314">
        <f>'B26'!C94</f>
        <v>17205</v>
      </c>
      <c r="F96" s="314"/>
      <c r="G96" s="314"/>
      <c r="H96" s="314">
        <f t="shared" si="5"/>
        <v>0</v>
      </c>
      <c r="I96" s="314"/>
      <c r="J96" s="314"/>
      <c r="K96" s="314"/>
    </row>
    <row r="97" spans="1:11" ht="15">
      <c r="A97" s="270">
        <f>'B26'!A95</f>
        <v>88</v>
      </c>
      <c r="B97" s="313" t="str">
        <f>'B26'!B95</f>
        <v>Tòa án nhân dân</v>
      </c>
      <c r="C97" s="314">
        <f t="shared" si="4"/>
        <v>1299</v>
      </c>
      <c r="D97" s="314"/>
      <c r="E97" s="314">
        <f>'B26'!C95</f>
        <v>1299</v>
      </c>
      <c r="F97" s="314"/>
      <c r="G97" s="314"/>
      <c r="H97" s="314">
        <f t="shared" si="5"/>
        <v>0</v>
      </c>
      <c r="I97" s="314"/>
      <c r="J97" s="314"/>
      <c r="K97" s="314"/>
    </row>
    <row r="98" spans="1:11" ht="15">
      <c r="A98" s="270">
        <f>'B26'!A96</f>
        <v>89</v>
      </c>
      <c r="B98" s="313" t="str">
        <f>'B26'!B96</f>
        <v>Viện Kiểm sát nhân dân</v>
      </c>
      <c r="C98" s="314">
        <f t="shared" si="4"/>
        <v>564</v>
      </c>
      <c r="D98" s="314"/>
      <c r="E98" s="314">
        <f>'B26'!C96</f>
        <v>564</v>
      </c>
      <c r="F98" s="314"/>
      <c r="G98" s="314"/>
      <c r="H98" s="314">
        <f t="shared" si="5"/>
        <v>0</v>
      </c>
      <c r="I98" s="314"/>
      <c r="J98" s="314"/>
      <c r="K98" s="314"/>
    </row>
    <row r="99" spans="1:11" ht="15">
      <c r="A99" s="366">
        <f>'B26'!A97</f>
        <v>90</v>
      </c>
      <c r="B99" s="367" t="str">
        <f>'B26'!B97</f>
        <v>Chi cục Thi hành án dân sự</v>
      </c>
      <c r="C99" s="368">
        <f t="shared" si="4"/>
        <v>570</v>
      </c>
      <c r="D99" s="368"/>
      <c r="E99" s="368">
        <f>'B26'!C97</f>
        <v>570</v>
      </c>
      <c r="F99" s="368"/>
      <c r="G99" s="368"/>
      <c r="H99" s="368">
        <f t="shared" si="5"/>
        <v>0</v>
      </c>
      <c r="I99" s="368"/>
      <c r="J99" s="368"/>
      <c r="K99" s="368"/>
    </row>
    <row r="100" spans="1:11" ht="15">
      <c r="A100" s="270">
        <f>'B26'!A98</f>
        <v>91</v>
      </c>
      <c r="B100" s="313" t="str">
        <f>'B26'!B98</f>
        <v>Chi cục Thống kê</v>
      </c>
      <c r="C100" s="314">
        <f t="shared" si="4"/>
        <v>92</v>
      </c>
      <c r="D100" s="314"/>
      <c r="E100" s="314">
        <f>'B26'!C98</f>
        <v>92</v>
      </c>
      <c r="F100" s="314"/>
      <c r="G100" s="314"/>
      <c r="H100" s="314">
        <f t="shared" si="5"/>
        <v>0</v>
      </c>
      <c r="I100" s="314"/>
      <c r="J100" s="314"/>
      <c r="K100" s="314"/>
    </row>
    <row r="101" spans="1:11" ht="15" hidden="1">
      <c r="A101" s="270">
        <f>'B26'!A99</f>
        <v>0</v>
      </c>
      <c r="B101" s="313" t="str">
        <f>'B26'!B99</f>
        <v>Phòng Cảnh sát PCCC</v>
      </c>
      <c r="C101" s="314">
        <f t="shared" si="4"/>
        <v>0</v>
      </c>
      <c r="D101" s="314"/>
      <c r="E101" s="314">
        <f>'B26'!C99</f>
        <v>0</v>
      </c>
      <c r="F101" s="314"/>
      <c r="G101" s="314"/>
      <c r="H101" s="314">
        <f t="shared" si="5"/>
        <v>0</v>
      </c>
      <c r="I101" s="314"/>
      <c r="J101" s="314"/>
      <c r="K101" s="314"/>
    </row>
    <row r="102" spans="1:11" ht="15">
      <c r="A102" s="366">
        <f>'B26'!A100</f>
        <v>92</v>
      </c>
      <c r="B102" s="367" t="str">
        <f>'B26'!B100</f>
        <v>Kho bạc Nhà nước Quận 8</v>
      </c>
      <c r="C102" s="368">
        <f t="shared" si="4"/>
        <v>216</v>
      </c>
      <c r="D102" s="368"/>
      <c r="E102" s="368">
        <f>'B26'!C100</f>
        <v>216</v>
      </c>
      <c r="F102" s="368"/>
      <c r="G102" s="368"/>
      <c r="H102" s="368">
        <f t="shared" si="5"/>
        <v>0</v>
      </c>
      <c r="I102" s="368"/>
      <c r="J102" s="368"/>
      <c r="K102" s="368"/>
    </row>
    <row r="103" spans="1:11" ht="15">
      <c r="A103" s="270">
        <f>'B26'!A101</f>
        <v>93</v>
      </c>
      <c r="B103" s="313" t="str">
        <f>'B26'!B101</f>
        <v>Đội Quản lý thị trường số 8</v>
      </c>
      <c r="C103" s="314">
        <f t="shared" si="4"/>
        <v>366</v>
      </c>
      <c r="D103" s="314"/>
      <c r="E103" s="314">
        <f>'B26'!C101</f>
        <v>366</v>
      </c>
      <c r="F103" s="314"/>
      <c r="G103" s="314"/>
      <c r="H103" s="314">
        <f t="shared" si="5"/>
        <v>0</v>
      </c>
      <c r="I103" s="314"/>
      <c r="J103" s="314"/>
      <c r="K103" s="314"/>
    </row>
    <row r="104" spans="1:11" ht="15">
      <c r="A104" s="270">
        <f>'B26'!A102</f>
        <v>94</v>
      </c>
      <c r="B104" s="313" t="str">
        <f>'B26'!B102</f>
        <v>Chi cục Thuế Quận 8</v>
      </c>
      <c r="C104" s="314">
        <f t="shared" si="4"/>
        <v>672</v>
      </c>
      <c r="D104" s="314"/>
      <c r="E104" s="314">
        <f>'B26'!C102</f>
        <v>672</v>
      </c>
      <c r="F104" s="314"/>
      <c r="G104" s="314"/>
      <c r="H104" s="314">
        <f t="shared" si="5"/>
        <v>0</v>
      </c>
      <c r="I104" s="314"/>
      <c r="J104" s="314"/>
      <c r="K104" s="314"/>
    </row>
    <row r="105" spans="1:11" ht="15">
      <c r="A105" s="270">
        <f>'B26'!A103</f>
        <v>95</v>
      </c>
      <c r="B105" s="313" t="str">
        <f>'B26'!B103</f>
        <v>Ủy ban nhân dân Phường 1</v>
      </c>
      <c r="C105" s="314">
        <f t="shared" si="4"/>
        <v>5</v>
      </c>
      <c r="D105" s="314">
        <f>'B25'!C14</f>
        <v>0</v>
      </c>
      <c r="E105" s="314">
        <f>'B26'!C103</f>
        <v>5</v>
      </c>
      <c r="F105" s="314"/>
      <c r="G105" s="314"/>
      <c r="H105" s="314">
        <f t="shared" si="5"/>
        <v>0</v>
      </c>
      <c r="I105" s="314"/>
      <c r="J105" s="314"/>
      <c r="K105" s="314"/>
    </row>
    <row r="106" spans="1:11" ht="15">
      <c r="A106" s="270">
        <f>'B26'!A104</f>
        <v>96</v>
      </c>
      <c r="B106" s="313" t="str">
        <f>'B26'!B104</f>
        <v>Ủy ban nhân dân Phường 2</v>
      </c>
      <c r="C106" s="314">
        <f t="shared" si="4"/>
        <v>9</v>
      </c>
      <c r="D106" s="314"/>
      <c r="E106" s="314">
        <f>'B26'!C104</f>
        <v>9</v>
      </c>
      <c r="F106" s="314"/>
      <c r="G106" s="314"/>
      <c r="H106" s="314">
        <f t="shared" si="5"/>
        <v>0</v>
      </c>
      <c r="I106" s="314"/>
      <c r="J106" s="314"/>
      <c r="K106" s="314"/>
    </row>
    <row r="107" spans="1:11" ht="15">
      <c r="A107" s="270">
        <f>'B26'!A105</f>
        <v>97</v>
      </c>
      <c r="B107" s="313" t="str">
        <f>'B26'!B105</f>
        <v>Ủy ban nhân dân Phường 3</v>
      </c>
      <c r="C107" s="314">
        <f t="shared" si="4"/>
        <v>8</v>
      </c>
      <c r="D107" s="314"/>
      <c r="E107" s="314">
        <f>'B26'!C105</f>
        <v>8</v>
      </c>
      <c r="F107" s="314"/>
      <c r="G107" s="314"/>
      <c r="H107" s="314">
        <f t="shared" si="5"/>
        <v>0</v>
      </c>
      <c r="I107" s="314"/>
      <c r="J107" s="314"/>
      <c r="K107" s="314"/>
    </row>
    <row r="108" spans="1:11" ht="15">
      <c r="A108" s="270">
        <f>'B26'!A106</f>
        <v>98</v>
      </c>
      <c r="B108" s="313" t="str">
        <f>'B26'!B106</f>
        <v>Ủy ban nhân dân Phường 4</v>
      </c>
      <c r="C108" s="314">
        <f t="shared" si="4"/>
        <v>23</v>
      </c>
      <c r="D108" s="314"/>
      <c r="E108" s="314">
        <f>'B26'!C106</f>
        <v>23</v>
      </c>
      <c r="F108" s="314"/>
      <c r="G108" s="314"/>
      <c r="H108" s="314">
        <f t="shared" si="5"/>
        <v>0</v>
      </c>
      <c r="I108" s="314"/>
      <c r="J108" s="314"/>
      <c r="K108" s="314"/>
    </row>
    <row r="109" spans="1:11" ht="15">
      <c r="A109" s="270">
        <f>'B26'!A107</f>
        <v>99</v>
      </c>
      <c r="B109" s="313" t="str">
        <f>'B26'!B107</f>
        <v>Ủy ban nhân dân Phường 5</v>
      </c>
      <c r="C109" s="314">
        <f t="shared" si="4"/>
        <v>30</v>
      </c>
      <c r="D109" s="314"/>
      <c r="E109" s="314">
        <f>'B26'!C107</f>
        <v>30</v>
      </c>
      <c r="F109" s="314"/>
      <c r="G109" s="314"/>
      <c r="H109" s="314">
        <f t="shared" si="5"/>
        <v>0</v>
      </c>
      <c r="I109" s="314"/>
      <c r="J109" s="314"/>
      <c r="K109" s="314"/>
    </row>
    <row r="110" spans="1:11" ht="15">
      <c r="A110" s="270">
        <f>'B26'!A108</f>
        <v>100</v>
      </c>
      <c r="B110" s="313" t="str">
        <f>'B26'!B108</f>
        <v>Ủy ban nhân dân Phường 6</v>
      </c>
      <c r="C110" s="314">
        <f t="shared" si="4"/>
        <v>19</v>
      </c>
      <c r="D110" s="314">
        <f>'B25'!C15</f>
        <v>0</v>
      </c>
      <c r="E110" s="314">
        <f>'B26'!C108</f>
        <v>19</v>
      </c>
      <c r="F110" s="314"/>
      <c r="G110" s="314"/>
      <c r="H110" s="314">
        <f t="shared" si="5"/>
        <v>0</v>
      </c>
      <c r="I110" s="314"/>
      <c r="J110" s="314"/>
      <c r="K110" s="314"/>
    </row>
    <row r="111" spans="1:11" ht="15">
      <c r="A111" s="270">
        <f>'B26'!A109</f>
        <v>101</v>
      </c>
      <c r="B111" s="313" t="str">
        <f>'B26'!B109</f>
        <v>Ủy ban nhân dân Phường 7</v>
      </c>
      <c r="C111" s="314">
        <f t="shared" si="4"/>
        <v>30</v>
      </c>
      <c r="D111" s="314">
        <f>'B25'!C16</f>
        <v>0</v>
      </c>
      <c r="E111" s="314">
        <f>'B26'!C109</f>
        <v>30</v>
      </c>
      <c r="F111" s="314"/>
      <c r="G111" s="314"/>
      <c r="H111" s="314">
        <f t="shared" si="5"/>
        <v>0</v>
      </c>
      <c r="I111" s="314"/>
      <c r="J111" s="314"/>
      <c r="K111" s="314"/>
    </row>
    <row r="112" spans="1:11" ht="15">
      <c r="A112" s="270">
        <f>'B26'!A110</f>
        <v>102</v>
      </c>
      <c r="B112" s="313" t="str">
        <f>'B26'!B110</f>
        <v>Ủy ban nhân dân Phường 8</v>
      </c>
      <c r="C112" s="314">
        <f t="shared" si="4"/>
        <v>9</v>
      </c>
      <c r="D112" s="314"/>
      <c r="E112" s="314">
        <f>'B26'!C110</f>
        <v>9</v>
      </c>
      <c r="F112" s="314"/>
      <c r="G112" s="314"/>
      <c r="H112" s="314">
        <f t="shared" si="5"/>
        <v>0</v>
      </c>
      <c r="I112" s="314"/>
      <c r="J112" s="314"/>
      <c r="K112" s="314"/>
    </row>
    <row r="113" spans="1:11" ht="15">
      <c r="A113" s="270">
        <f>'B26'!A111</f>
        <v>103</v>
      </c>
      <c r="B113" s="313" t="str">
        <f>'B26'!B111</f>
        <v>Ủy ban nhân dân Phường 9</v>
      </c>
      <c r="C113" s="314">
        <f t="shared" si="4"/>
        <v>7</v>
      </c>
      <c r="D113" s="314"/>
      <c r="E113" s="314">
        <f>'B26'!C111</f>
        <v>7</v>
      </c>
      <c r="F113" s="314"/>
      <c r="G113" s="314"/>
      <c r="H113" s="314">
        <f t="shared" si="5"/>
        <v>0</v>
      </c>
      <c r="I113" s="314"/>
      <c r="J113" s="314"/>
      <c r="K113" s="314"/>
    </row>
    <row r="114" spans="1:11" ht="15">
      <c r="A114" s="270">
        <f>'B26'!A112</f>
        <v>104</v>
      </c>
      <c r="B114" s="313" t="str">
        <f>'B26'!B112</f>
        <v>Ủy ban nhân dân Phường 10</v>
      </c>
      <c r="C114" s="314">
        <f t="shared" si="4"/>
        <v>13</v>
      </c>
      <c r="D114" s="314"/>
      <c r="E114" s="314">
        <f>'B26'!C112</f>
        <v>13</v>
      </c>
      <c r="F114" s="314"/>
      <c r="G114" s="314"/>
      <c r="H114" s="314">
        <f t="shared" si="5"/>
        <v>0</v>
      </c>
      <c r="I114" s="314"/>
      <c r="J114" s="314"/>
      <c r="K114" s="314"/>
    </row>
    <row r="115" spans="1:11" ht="15">
      <c r="A115" s="270">
        <f>'B26'!A113</f>
        <v>105</v>
      </c>
      <c r="B115" s="313" t="str">
        <f>'B26'!B113</f>
        <v>Ủy ban nhân dân Phường 11</v>
      </c>
      <c r="C115" s="314">
        <f t="shared" si="4"/>
        <v>14</v>
      </c>
      <c r="D115" s="314"/>
      <c r="E115" s="314">
        <f>'B26'!C113</f>
        <v>14</v>
      </c>
      <c r="F115" s="314"/>
      <c r="G115" s="314"/>
      <c r="H115" s="314">
        <f t="shared" si="5"/>
        <v>0</v>
      </c>
      <c r="I115" s="314"/>
      <c r="J115" s="314"/>
      <c r="K115" s="314"/>
    </row>
    <row r="116" spans="1:11" ht="15">
      <c r="A116" s="270">
        <f>'B26'!A114</f>
        <v>106</v>
      </c>
      <c r="B116" s="313" t="str">
        <f>'B26'!B114</f>
        <v>Ủy ban nhân dân Phường 12</v>
      </c>
      <c r="C116" s="314">
        <f t="shared" si="4"/>
        <v>38</v>
      </c>
      <c r="D116" s="314"/>
      <c r="E116" s="314">
        <f>'B26'!C114</f>
        <v>38</v>
      </c>
      <c r="F116" s="314"/>
      <c r="G116" s="314"/>
      <c r="H116" s="314">
        <f t="shared" si="5"/>
        <v>0</v>
      </c>
      <c r="I116" s="314"/>
      <c r="J116" s="314"/>
      <c r="K116" s="314"/>
    </row>
    <row r="117" spans="1:11" ht="15">
      <c r="A117" s="270">
        <f>'B26'!A115</f>
        <v>107</v>
      </c>
      <c r="B117" s="313" t="str">
        <f>'B26'!B115</f>
        <v>Ủy ban nhân dân Phường 13</v>
      </c>
      <c r="C117" s="314">
        <f t="shared" si="4"/>
        <v>11</v>
      </c>
      <c r="D117" s="314"/>
      <c r="E117" s="314">
        <f>'B26'!C115</f>
        <v>11</v>
      </c>
      <c r="F117" s="314"/>
      <c r="G117" s="314"/>
      <c r="H117" s="314">
        <f t="shared" si="5"/>
        <v>0</v>
      </c>
      <c r="I117" s="314"/>
      <c r="J117" s="314"/>
      <c r="K117" s="314"/>
    </row>
    <row r="118" spans="1:11" ht="15">
      <c r="A118" s="270">
        <f>'B26'!A116</f>
        <v>108</v>
      </c>
      <c r="B118" s="313" t="str">
        <f>'B26'!B116</f>
        <v>Ủy ban nhân dân Phường 14</v>
      </c>
      <c r="C118" s="314">
        <f t="shared" si="4"/>
        <v>68</v>
      </c>
      <c r="D118" s="314"/>
      <c r="E118" s="314">
        <f>'B26'!C116</f>
        <v>68</v>
      </c>
      <c r="F118" s="314"/>
      <c r="G118" s="314"/>
      <c r="H118" s="314">
        <f t="shared" si="5"/>
        <v>0</v>
      </c>
      <c r="I118" s="314"/>
      <c r="J118" s="314"/>
      <c r="K118" s="314"/>
    </row>
    <row r="119" spans="1:11" ht="15">
      <c r="A119" s="270">
        <f>'B26'!A117</f>
        <v>109</v>
      </c>
      <c r="B119" s="313" t="str">
        <f>'B26'!B117</f>
        <v>Ủy ban nhân dân Phường 15</v>
      </c>
      <c r="C119" s="314">
        <f t="shared" si="4"/>
        <v>108</v>
      </c>
      <c r="D119" s="314"/>
      <c r="E119" s="314">
        <f>'B26'!C117</f>
        <v>108</v>
      </c>
      <c r="F119" s="314"/>
      <c r="G119" s="314"/>
      <c r="H119" s="314">
        <f t="shared" si="5"/>
        <v>0</v>
      </c>
      <c r="I119" s="314"/>
      <c r="J119" s="314"/>
      <c r="K119" s="314"/>
    </row>
    <row r="120" spans="1:11" ht="15">
      <c r="A120" s="270">
        <f>'B26'!A118</f>
        <v>110</v>
      </c>
      <c r="B120" s="313" t="str">
        <f>'B26'!B118</f>
        <v>Ủy ban nhân dân Phường 16</v>
      </c>
      <c r="C120" s="314">
        <f t="shared" si="4"/>
        <v>26</v>
      </c>
      <c r="D120" s="314">
        <f>'B25'!C17</f>
        <v>0</v>
      </c>
      <c r="E120" s="314">
        <f>'B26'!C118</f>
        <v>26</v>
      </c>
      <c r="F120" s="314"/>
      <c r="G120" s="314"/>
      <c r="H120" s="314">
        <f t="shared" si="5"/>
        <v>0</v>
      </c>
      <c r="I120" s="314"/>
      <c r="J120" s="314"/>
      <c r="K120" s="314"/>
    </row>
    <row r="121" spans="1:11" ht="15">
      <c r="A121" s="270">
        <f>'B26'!A119</f>
        <v>111</v>
      </c>
      <c r="B121" s="313" t="str">
        <f>'B26'!B119</f>
        <v>Liên đoàn Lao động Quận 8</v>
      </c>
      <c r="C121" s="314">
        <f>SUM(D121:H121,K121)</f>
        <v>11</v>
      </c>
      <c r="D121" s="314"/>
      <c r="E121" s="314">
        <f>'B26'!C119</f>
        <v>11</v>
      </c>
      <c r="F121" s="314"/>
      <c r="G121" s="314"/>
      <c r="H121" s="314">
        <f>SUM(I121:J121)</f>
        <v>0</v>
      </c>
      <c r="I121" s="314"/>
      <c r="J121" s="314"/>
      <c r="K121" s="314"/>
    </row>
    <row r="122" spans="1:11" ht="15">
      <c r="A122" s="270">
        <f>'B26'!A120</f>
        <v>112</v>
      </c>
      <c r="B122" s="313" t="str">
        <f>'B26'!B120</f>
        <v>Ban Bồi thường giải phóng mặt bằng</v>
      </c>
      <c r="C122" s="314">
        <f>SUM(D122:H122,K122)</f>
        <v>1227</v>
      </c>
      <c r="D122" s="314">
        <f>'B25'!C10</f>
        <v>45</v>
      </c>
      <c r="E122" s="314">
        <f>'B26'!C120</f>
        <v>1182</v>
      </c>
      <c r="F122" s="314"/>
      <c r="G122" s="314"/>
      <c r="H122" s="314">
        <f>SUM(I122:J122)</f>
        <v>0</v>
      </c>
      <c r="I122" s="314"/>
      <c r="J122" s="314"/>
      <c r="K122" s="314"/>
    </row>
    <row r="123" spans="1:11" ht="15">
      <c r="A123" s="270">
        <f>'B26'!A121</f>
        <v>113</v>
      </c>
      <c r="B123" s="313" t="str">
        <f>'B26'!B121</f>
        <v>Công ty TNHH MTV DVCI</v>
      </c>
      <c r="C123" s="314">
        <f>SUM(D123:H123,K123)</f>
        <v>11814</v>
      </c>
      <c r="D123" s="314">
        <f>'B25'!C11</f>
        <v>0</v>
      </c>
      <c r="E123" s="314">
        <f>'B26'!C121</f>
        <v>11814</v>
      </c>
      <c r="F123" s="314"/>
      <c r="G123" s="314"/>
      <c r="H123" s="314">
        <f>SUM(I123:J123)</f>
        <v>0</v>
      </c>
      <c r="I123" s="314"/>
      <c r="J123" s="314"/>
      <c r="K123" s="314"/>
    </row>
    <row r="124" spans="1:11" ht="15">
      <c r="A124" s="270">
        <f>'B26'!A122</f>
        <v>114</v>
      </c>
      <c r="B124" s="313" t="str">
        <f>'B26'!B122</f>
        <v>Ban Quản lý chợ Phạm Thế Hiển</v>
      </c>
      <c r="C124" s="314">
        <f t="shared" si="4"/>
        <v>284</v>
      </c>
      <c r="D124" s="314">
        <f>'B25'!C13</f>
        <v>0</v>
      </c>
      <c r="E124" s="314">
        <f>'B26'!C122</f>
        <v>284</v>
      </c>
      <c r="F124" s="314"/>
      <c r="G124" s="314"/>
      <c r="H124" s="314">
        <f t="shared" si="5"/>
        <v>0</v>
      </c>
      <c r="I124" s="314"/>
      <c r="J124" s="314"/>
      <c r="K124" s="314"/>
    </row>
    <row r="125" spans="1:11" ht="15">
      <c r="A125" s="270">
        <f>'B26'!A123</f>
        <v>115</v>
      </c>
      <c r="B125" s="313" t="str">
        <f>'B26'!B123</f>
        <v>Chi nhiệm vụ khác theo chế độ</v>
      </c>
      <c r="C125" s="314">
        <f t="shared" si="4"/>
        <v>58901</v>
      </c>
      <c r="D125" s="314">
        <f>'B25'!C18</f>
        <v>169</v>
      </c>
      <c r="E125" s="314">
        <f>'B26'!C123</f>
        <v>58437</v>
      </c>
      <c r="F125" s="314"/>
      <c r="G125" s="314"/>
      <c r="H125" s="314">
        <f t="shared" si="5"/>
        <v>295</v>
      </c>
      <c r="I125" s="314"/>
      <c r="J125" s="314">
        <v>295</v>
      </c>
      <c r="K125" s="314"/>
    </row>
    <row r="126" spans="1:11" ht="15">
      <c r="A126" s="363" t="s">
        <v>3</v>
      </c>
      <c r="B126" s="369" t="s">
        <v>347</v>
      </c>
      <c r="C126" s="365">
        <f t="shared" si="4"/>
        <v>0</v>
      </c>
      <c r="D126" s="365"/>
      <c r="E126" s="365"/>
      <c r="F126" s="365"/>
      <c r="G126" s="365"/>
      <c r="H126" s="365"/>
      <c r="I126" s="365"/>
      <c r="J126" s="365"/>
      <c r="K126" s="365"/>
    </row>
    <row r="127" spans="1:11" ht="28.5">
      <c r="A127" s="363" t="s">
        <v>4</v>
      </c>
      <c r="B127" s="364" t="s">
        <v>315</v>
      </c>
      <c r="C127" s="365">
        <f t="shared" si="4"/>
        <v>0</v>
      </c>
      <c r="D127" s="365"/>
      <c r="E127" s="365"/>
      <c r="F127" s="365"/>
      <c r="G127" s="365"/>
      <c r="H127" s="365"/>
      <c r="I127" s="365"/>
      <c r="J127" s="365"/>
      <c r="K127" s="365"/>
    </row>
    <row r="128" spans="1:11" ht="28.5">
      <c r="A128" s="363" t="s">
        <v>21</v>
      </c>
      <c r="B128" s="364" t="s">
        <v>317</v>
      </c>
      <c r="C128" s="365">
        <f t="shared" si="4"/>
        <v>190737</v>
      </c>
      <c r="D128" s="365"/>
      <c r="E128" s="365">
        <f>'B23'!D8</f>
        <v>190737</v>
      </c>
      <c r="F128" s="365"/>
      <c r="G128" s="365"/>
      <c r="H128" s="365"/>
      <c r="I128" s="365"/>
      <c r="J128" s="365"/>
      <c r="K128" s="365"/>
    </row>
    <row r="129" spans="1:11" ht="28.5">
      <c r="A129" s="370" t="s">
        <v>46</v>
      </c>
      <c r="B129" s="308" t="s">
        <v>312</v>
      </c>
      <c r="C129" s="309">
        <f t="shared" si="4"/>
        <v>0</v>
      </c>
      <c r="D129" s="309"/>
      <c r="E129" s="309"/>
      <c r="F129" s="309"/>
      <c r="G129" s="309"/>
      <c r="H129" s="309"/>
      <c r="I129" s="309"/>
      <c r="J129" s="309"/>
      <c r="K129" s="309"/>
    </row>
  </sheetData>
  <sheetProtection/>
  <mergeCells count="11">
    <mergeCell ref="A2:K2"/>
    <mergeCell ref="A3:K3"/>
    <mergeCell ref="A5:A6"/>
    <mergeCell ref="B5:B6"/>
    <mergeCell ref="C5:C6"/>
    <mergeCell ref="D5:D6"/>
    <mergeCell ref="E5:E6"/>
    <mergeCell ref="F5:F6"/>
    <mergeCell ref="G5:G6"/>
    <mergeCell ref="H5:J5"/>
    <mergeCell ref="K5:K6"/>
  </mergeCells>
  <printOptions horizontalCentered="1"/>
  <pageMargins left="0.45" right="0.45" top="0.4" bottom="0.4" header="0.2" footer="0.2"/>
  <pageSetup horizontalDpi="600" verticalDpi="600" orientation="landscape" paperSize="9" r:id="rId1"/>
  <headerFooter>
    <oddFooter>&amp;C&amp;"Times New Roman,Regular"&amp;10Biểu mẫu số 24&amp;R&amp;"Times New Roman,Regular"&amp;10&amp;P</oddFooter>
  </headerFooter>
</worksheet>
</file>

<file path=xl/worksheets/sheet22.xml><?xml version="1.0" encoding="utf-8"?>
<worksheet xmlns="http://schemas.openxmlformats.org/spreadsheetml/2006/main" xmlns:r="http://schemas.openxmlformats.org/officeDocument/2006/relationships">
  <dimension ref="A1:R20"/>
  <sheetViews>
    <sheetView showZeros="0" zoomScale="130" zoomScaleNormal="130" zoomScalePageLayoutView="0" workbookViewId="0" topLeftCell="A1">
      <selection activeCell="A1" sqref="A1"/>
    </sheetView>
  </sheetViews>
  <sheetFormatPr defaultColWidth="9.140625" defaultRowHeight="15"/>
  <cols>
    <col min="1" max="1" width="4.7109375" style="160" customWidth="1"/>
    <col min="2" max="2" width="22.421875" style="160" customWidth="1"/>
    <col min="3" max="3" width="7.7109375" style="160" customWidth="1"/>
    <col min="4" max="4" width="8.7109375" style="160" customWidth="1"/>
    <col min="5" max="5" width="9.140625" style="160" hidden="1" customWidth="1"/>
    <col min="6" max="6" width="7.28125" style="160" customWidth="1"/>
    <col min="7" max="7" width="8.00390625" style="160" customWidth="1"/>
    <col min="8" max="8" width="8.140625" style="160" customWidth="1"/>
    <col min="9" max="9" width="7.140625" style="160" customWidth="1"/>
    <col min="10" max="10" width="9.140625" style="160" hidden="1" customWidth="1"/>
    <col min="11" max="11" width="7.140625" style="160" customWidth="1"/>
    <col min="12" max="12" width="6.7109375" style="160" customWidth="1"/>
    <col min="13" max="13" width="8.7109375" style="160" customWidth="1"/>
    <col min="14" max="14" width="8.00390625" style="160" customWidth="1"/>
    <col min="15" max="15" width="8.421875" style="160" customWidth="1"/>
    <col min="16" max="16" width="9.140625" style="160" customWidth="1"/>
    <col min="17" max="17" width="7.00390625" style="160" customWidth="1"/>
    <col min="18" max="18" width="7.140625" style="160" customWidth="1"/>
    <col min="19" max="16384" width="9.140625" style="160" customWidth="1"/>
  </cols>
  <sheetData>
    <row r="1" ht="15.75">
      <c r="R1" s="165" t="s">
        <v>313</v>
      </c>
    </row>
    <row r="2" spans="1:18" ht="35.25" customHeight="1">
      <c r="A2" s="441" t="s">
        <v>464</v>
      </c>
      <c r="B2" s="481"/>
      <c r="C2" s="481"/>
      <c r="D2" s="481"/>
      <c r="E2" s="481"/>
      <c r="F2" s="481"/>
      <c r="G2" s="481"/>
      <c r="H2" s="481"/>
      <c r="I2" s="481"/>
      <c r="J2" s="481"/>
      <c r="K2" s="481"/>
      <c r="L2" s="481"/>
      <c r="M2" s="481"/>
      <c r="N2" s="481"/>
      <c r="O2" s="481"/>
      <c r="P2" s="481"/>
      <c r="Q2" s="481"/>
      <c r="R2" s="481"/>
    </row>
    <row r="3" spans="1:18" ht="15.75">
      <c r="A3" s="481"/>
      <c r="B3" s="481"/>
      <c r="C3" s="481"/>
      <c r="D3" s="481"/>
      <c r="E3" s="481"/>
      <c r="F3" s="481"/>
      <c r="G3" s="481"/>
      <c r="H3" s="481"/>
      <c r="I3" s="481"/>
      <c r="J3" s="481"/>
      <c r="K3" s="481"/>
      <c r="L3" s="481"/>
      <c r="M3" s="481"/>
      <c r="N3" s="481"/>
      <c r="O3" s="481"/>
      <c r="P3" s="481"/>
      <c r="Q3" s="481"/>
      <c r="R3" s="481"/>
    </row>
    <row r="4" s="184" customFormat="1" ht="12.75">
      <c r="R4" s="185" t="s">
        <v>10</v>
      </c>
    </row>
    <row r="5" spans="1:18" s="184" customFormat="1" ht="12.75">
      <c r="A5" s="482" t="s">
        <v>0</v>
      </c>
      <c r="B5" s="482" t="s">
        <v>173</v>
      </c>
      <c r="C5" s="482" t="s">
        <v>130</v>
      </c>
      <c r="D5" s="482" t="s">
        <v>100</v>
      </c>
      <c r="E5" s="482" t="s">
        <v>101</v>
      </c>
      <c r="F5" s="482" t="s">
        <v>193</v>
      </c>
      <c r="G5" s="482" t="s">
        <v>194</v>
      </c>
      <c r="H5" s="482" t="s">
        <v>195</v>
      </c>
      <c r="I5" s="482" t="s">
        <v>196</v>
      </c>
      <c r="J5" s="482" t="s">
        <v>197</v>
      </c>
      <c r="K5" s="482" t="s">
        <v>198</v>
      </c>
      <c r="L5" s="482" t="s">
        <v>199</v>
      </c>
      <c r="M5" s="482" t="s">
        <v>200</v>
      </c>
      <c r="N5" s="482" t="s">
        <v>208</v>
      </c>
      <c r="O5" s="482"/>
      <c r="P5" s="482" t="s">
        <v>201</v>
      </c>
      <c r="Q5" s="482" t="s">
        <v>202</v>
      </c>
      <c r="R5" s="482" t="s">
        <v>203</v>
      </c>
    </row>
    <row r="6" spans="1:18" s="184" customFormat="1" ht="76.5">
      <c r="A6" s="482"/>
      <c r="B6" s="482"/>
      <c r="C6" s="482"/>
      <c r="D6" s="482"/>
      <c r="E6" s="482"/>
      <c r="F6" s="482"/>
      <c r="G6" s="482"/>
      <c r="H6" s="482"/>
      <c r="I6" s="482"/>
      <c r="J6" s="482"/>
      <c r="K6" s="482"/>
      <c r="L6" s="482"/>
      <c r="M6" s="482"/>
      <c r="N6" s="230" t="s">
        <v>209</v>
      </c>
      <c r="O6" s="230" t="s">
        <v>210</v>
      </c>
      <c r="P6" s="482"/>
      <c r="Q6" s="482"/>
      <c r="R6" s="482"/>
    </row>
    <row r="7" spans="1:18" s="184" customFormat="1" ht="12.75">
      <c r="A7" s="230" t="s">
        <v>1</v>
      </c>
      <c r="B7" s="230" t="s">
        <v>6</v>
      </c>
      <c r="C7" s="195" t="s">
        <v>51</v>
      </c>
      <c r="D7" s="195" t="s">
        <v>52</v>
      </c>
      <c r="E7" s="230"/>
      <c r="F7" s="195" t="s">
        <v>53</v>
      </c>
      <c r="G7" s="195" t="s">
        <v>54</v>
      </c>
      <c r="H7" s="195" t="s">
        <v>299</v>
      </c>
      <c r="I7" s="195" t="s">
        <v>300</v>
      </c>
      <c r="J7" s="230"/>
      <c r="K7" s="195" t="s">
        <v>301</v>
      </c>
      <c r="L7" s="195" t="s">
        <v>302</v>
      </c>
      <c r="M7" s="195" t="s">
        <v>303</v>
      </c>
      <c r="N7" s="195" t="s">
        <v>304</v>
      </c>
      <c r="O7" s="195" t="s">
        <v>305</v>
      </c>
      <c r="P7" s="195" t="s">
        <v>306</v>
      </c>
      <c r="Q7" s="195" t="s">
        <v>307</v>
      </c>
      <c r="R7" s="195" t="s">
        <v>308</v>
      </c>
    </row>
    <row r="8" spans="1:18" s="220" customFormat="1" ht="12.75">
      <c r="A8" s="218"/>
      <c r="B8" s="218" t="s">
        <v>149</v>
      </c>
      <c r="C8" s="219">
        <f>SUM(C9:C19)</f>
        <v>129093</v>
      </c>
      <c r="D8" s="219">
        <f aca="true" t="shared" si="0" ref="D8:R8">SUM(D9:D19)</f>
        <v>8000</v>
      </c>
      <c r="E8" s="219">
        <f t="shared" si="0"/>
        <v>0</v>
      </c>
      <c r="F8" s="219">
        <f t="shared" si="0"/>
        <v>0</v>
      </c>
      <c r="G8" s="219">
        <f t="shared" si="0"/>
        <v>6466</v>
      </c>
      <c r="H8" s="219">
        <f t="shared" si="0"/>
        <v>5554</v>
      </c>
      <c r="I8" s="219">
        <f t="shared" si="0"/>
        <v>0</v>
      </c>
      <c r="J8" s="219">
        <f t="shared" si="0"/>
        <v>0</v>
      </c>
      <c r="K8" s="219">
        <f t="shared" si="0"/>
        <v>802</v>
      </c>
      <c r="L8" s="219">
        <f t="shared" si="0"/>
        <v>0</v>
      </c>
      <c r="M8" s="219">
        <f t="shared" si="0"/>
        <v>105514</v>
      </c>
      <c r="N8" s="219">
        <f t="shared" si="0"/>
        <v>53681</v>
      </c>
      <c r="O8" s="219">
        <f t="shared" si="0"/>
        <v>0</v>
      </c>
      <c r="P8" s="219">
        <f t="shared" si="0"/>
        <v>88</v>
      </c>
      <c r="Q8" s="219">
        <f t="shared" si="0"/>
        <v>0</v>
      </c>
      <c r="R8" s="219">
        <f t="shared" si="0"/>
        <v>2669</v>
      </c>
    </row>
    <row r="9" spans="1:18" s="220" customFormat="1" ht="12.75">
      <c r="A9" s="221">
        <v>1</v>
      </c>
      <c r="B9" s="222" t="s">
        <v>492</v>
      </c>
      <c r="C9" s="223">
        <f aca="true" t="shared" si="1" ref="C9:C19">SUM(D9:M9,P9:R9)</f>
        <v>125577</v>
      </c>
      <c r="D9" s="223">
        <f>10000-2000</f>
        <v>8000</v>
      </c>
      <c r="E9" s="223"/>
      <c r="F9" s="223"/>
      <c r="G9" s="223">
        <f>5200+1266</f>
        <v>6466</v>
      </c>
      <c r="H9" s="223">
        <f>147+4800-147+1098-344</f>
        <v>5554</v>
      </c>
      <c r="I9" s="223"/>
      <c r="J9" s="223"/>
      <c r="K9" s="223"/>
      <c r="L9" s="223"/>
      <c r="M9" s="223">
        <f>N9+13650+1298+3000+4300+5000+15000+8500+5000+146-650-4467+1011</f>
        <v>105469</v>
      </c>
      <c r="N9" s="223">
        <f>24000-13650+5800+5300+4000+2600+4000+3200+2500+6700+4000+4500+24+100+84+1500-393+500+252-1500-24+188</f>
        <v>53681</v>
      </c>
      <c r="O9" s="223"/>
      <c r="P9" s="223">
        <f>88</f>
        <v>88</v>
      </c>
      <c r="Q9" s="223"/>
      <c r="R9" s="223"/>
    </row>
    <row r="10" spans="1:18" s="220" customFormat="1" ht="12.75">
      <c r="A10" s="221">
        <v>2</v>
      </c>
      <c r="B10" s="222" t="s">
        <v>318</v>
      </c>
      <c r="C10" s="223">
        <f t="shared" si="1"/>
        <v>45</v>
      </c>
      <c r="D10" s="223"/>
      <c r="E10" s="223"/>
      <c r="F10" s="223"/>
      <c r="G10" s="223"/>
      <c r="H10" s="223"/>
      <c r="I10" s="223"/>
      <c r="J10" s="223"/>
      <c r="K10" s="223"/>
      <c r="L10" s="223"/>
      <c r="M10" s="223">
        <f>15+30</f>
        <v>45</v>
      </c>
      <c r="N10" s="223"/>
      <c r="O10" s="223"/>
      <c r="P10" s="223"/>
      <c r="Q10" s="223"/>
      <c r="R10" s="223"/>
    </row>
    <row r="11" spans="1:18" s="220" customFormat="1" ht="25.5" hidden="1">
      <c r="A11" s="221"/>
      <c r="B11" s="222" t="s">
        <v>211</v>
      </c>
      <c r="C11" s="223">
        <f t="shared" si="1"/>
        <v>0</v>
      </c>
      <c r="D11" s="223"/>
      <c r="E11" s="223"/>
      <c r="F11" s="223"/>
      <c r="G11" s="223"/>
      <c r="H11" s="223"/>
      <c r="I11" s="223"/>
      <c r="J11" s="223"/>
      <c r="K11" s="223"/>
      <c r="L11" s="223"/>
      <c r="M11" s="223"/>
      <c r="N11" s="223"/>
      <c r="O11" s="223"/>
      <c r="P11" s="223"/>
      <c r="Q11" s="223"/>
      <c r="R11" s="223"/>
    </row>
    <row r="12" spans="1:18" s="220" customFormat="1" ht="12.75">
      <c r="A12" s="221">
        <v>3</v>
      </c>
      <c r="B12" s="222" t="s">
        <v>226</v>
      </c>
      <c r="C12" s="223">
        <f t="shared" si="1"/>
        <v>802</v>
      </c>
      <c r="D12" s="223"/>
      <c r="E12" s="223"/>
      <c r="F12" s="223"/>
      <c r="G12" s="223"/>
      <c r="H12" s="223"/>
      <c r="I12" s="223"/>
      <c r="J12" s="223"/>
      <c r="K12" s="223">
        <f>802</f>
        <v>802</v>
      </c>
      <c r="L12" s="223"/>
      <c r="M12" s="223"/>
      <c r="N12" s="223"/>
      <c r="O12" s="223"/>
      <c r="P12" s="223"/>
      <c r="Q12" s="223"/>
      <c r="R12" s="223"/>
    </row>
    <row r="13" spans="1:18" s="220" customFormat="1" ht="12.75" hidden="1">
      <c r="A13" s="221"/>
      <c r="B13" s="222" t="s">
        <v>391</v>
      </c>
      <c r="C13" s="223">
        <f t="shared" si="1"/>
        <v>0</v>
      </c>
      <c r="D13" s="223"/>
      <c r="E13" s="223"/>
      <c r="F13" s="223"/>
      <c r="G13" s="223"/>
      <c r="H13" s="223"/>
      <c r="I13" s="223"/>
      <c r="J13" s="223"/>
      <c r="K13" s="223"/>
      <c r="L13" s="223"/>
      <c r="M13" s="223"/>
      <c r="N13" s="223"/>
      <c r="O13" s="223"/>
      <c r="P13" s="223"/>
      <c r="Q13" s="223"/>
      <c r="R13" s="223"/>
    </row>
    <row r="14" spans="1:18" s="220" customFormat="1" ht="12.75" hidden="1">
      <c r="A14" s="221"/>
      <c r="B14" s="222" t="s">
        <v>392</v>
      </c>
      <c r="C14" s="223">
        <f t="shared" si="1"/>
        <v>0</v>
      </c>
      <c r="D14" s="223"/>
      <c r="E14" s="223"/>
      <c r="F14" s="223"/>
      <c r="G14" s="223"/>
      <c r="H14" s="223"/>
      <c r="I14" s="223"/>
      <c r="J14" s="223"/>
      <c r="K14" s="223"/>
      <c r="L14" s="223"/>
      <c r="M14" s="223"/>
      <c r="N14" s="223">
        <f>M14</f>
        <v>0</v>
      </c>
      <c r="O14" s="223"/>
      <c r="P14" s="223"/>
      <c r="Q14" s="223"/>
      <c r="R14" s="223"/>
    </row>
    <row r="15" spans="1:18" s="220" customFormat="1" ht="12.75" hidden="1">
      <c r="A15" s="221"/>
      <c r="B15" s="222" t="s">
        <v>393</v>
      </c>
      <c r="C15" s="223">
        <f t="shared" si="1"/>
        <v>0</v>
      </c>
      <c r="D15" s="223"/>
      <c r="E15" s="223"/>
      <c r="F15" s="223"/>
      <c r="G15" s="223"/>
      <c r="H15" s="223"/>
      <c r="I15" s="223"/>
      <c r="J15" s="223"/>
      <c r="K15" s="223"/>
      <c r="L15" s="223"/>
      <c r="M15" s="223"/>
      <c r="N15" s="223">
        <f>M15</f>
        <v>0</v>
      </c>
      <c r="O15" s="223"/>
      <c r="P15" s="223"/>
      <c r="Q15" s="223"/>
      <c r="R15" s="223"/>
    </row>
    <row r="16" spans="1:18" s="220" customFormat="1" ht="12.75" hidden="1">
      <c r="A16" s="221"/>
      <c r="B16" s="222" t="s">
        <v>394</v>
      </c>
      <c r="C16" s="223">
        <f t="shared" si="1"/>
        <v>0</v>
      </c>
      <c r="D16" s="223"/>
      <c r="E16" s="223"/>
      <c r="F16" s="223"/>
      <c r="G16" s="223"/>
      <c r="H16" s="223"/>
      <c r="I16" s="223"/>
      <c r="J16" s="223"/>
      <c r="K16" s="223"/>
      <c r="L16" s="223"/>
      <c r="M16" s="223"/>
      <c r="N16" s="223">
        <f>M16</f>
        <v>0</v>
      </c>
      <c r="O16" s="223"/>
      <c r="P16" s="223"/>
      <c r="Q16" s="223"/>
      <c r="R16" s="223"/>
    </row>
    <row r="17" spans="1:18" s="220" customFormat="1" ht="12.75" hidden="1">
      <c r="A17" s="221"/>
      <c r="B17" s="222" t="s">
        <v>395</v>
      </c>
      <c r="C17" s="223">
        <f t="shared" si="1"/>
        <v>0</v>
      </c>
      <c r="D17" s="223"/>
      <c r="E17" s="223"/>
      <c r="F17" s="223"/>
      <c r="G17" s="223"/>
      <c r="H17" s="223"/>
      <c r="I17" s="223"/>
      <c r="J17" s="223"/>
      <c r="K17" s="223"/>
      <c r="L17" s="223"/>
      <c r="M17" s="223"/>
      <c r="N17" s="223">
        <f>M17</f>
        <v>0</v>
      </c>
      <c r="O17" s="223"/>
      <c r="P17" s="223"/>
      <c r="Q17" s="223"/>
      <c r="R17" s="223"/>
    </row>
    <row r="18" spans="1:18" s="220" customFormat="1" ht="12.75">
      <c r="A18" s="221">
        <v>4</v>
      </c>
      <c r="B18" s="222" t="s">
        <v>396</v>
      </c>
      <c r="C18" s="223">
        <f t="shared" si="1"/>
        <v>169</v>
      </c>
      <c r="D18" s="223"/>
      <c r="E18" s="223"/>
      <c r="F18" s="223"/>
      <c r="G18" s="223"/>
      <c r="H18" s="223"/>
      <c r="I18" s="223"/>
      <c r="J18" s="223"/>
      <c r="K18" s="223"/>
      <c r="L18" s="223"/>
      <c r="M18" s="223"/>
      <c r="N18" s="223">
        <f>M18</f>
        <v>0</v>
      </c>
      <c r="O18" s="223"/>
      <c r="P18" s="223"/>
      <c r="Q18" s="223"/>
      <c r="R18" s="223">
        <f>169</f>
        <v>169</v>
      </c>
    </row>
    <row r="19" spans="1:18" s="220" customFormat="1" ht="12.75">
      <c r="A19" s="224">
        <v>5</v>
      </c>
      <c r="B19" s="225" t="s">
        <v>446</v>
      </c>
      <c r="C19" s="333">
        <f t="shared" si="1"/>
        <v>2500</v>
      </c>
      <c r="D19" s="226"/>
      <c r="E19" s="226"/>
      <c r="F19" s="226"/>
      <c r="G19" s="226"/>
      <c r="H19" s="226"/>
      <c r="I19" s="226"/>
      <c r="J19" s="226"/>
      <c r="K19" s="226"/>
      <c r="L19" s="226"/>
      <c r="M19" s="226"/>
      <c r="N19" s="226"/>
      <c r="O19" s="226"/>
      <c r="P19" s="226"/>
      <c r="Q19" s="226"/>
      <c r="R19" s="226">
        <v>2500</v>
      </c>
    </row>
    <row r="20" ht="15.75">
      <c r="A20" s="186"/>
    </row>
  </sheetData>
  <sheetProtection/>
  <mergeCells count="19">
    <mergeCell ref="P5:P6"/>
    <mergeCell ref="Q5:Q6"/>
    <mergeCell ref="R5:R6"/>
    <mergeCell ref="I5:I6"/>
    <mergeCell ref="J5:J6"/>
    <mergeCell ref="K5:K6"/>
    <mergeCell ref="L5:L6"/>
    <mergeCell ref="M5:M6"/>
    <mergeCell ref="N5:O5"/>
    <mergeCell ref="A2:R2"/>
    <mergeCell ref="A3:R3"/>
    <mergeCell ref="A5:A6"/>
    <mergeCell ref="B5:B6"/>
    <mergeCell ref="C5:C6"/>
    <mergeCell ref="D5:D6"/>
    <mergeCell ref="E5:E6"/>
    <mergeCell ref="F5:F6"/>
    <mergeCell ref="G5:G6"/>
    <mergeCell ref="H5:H6"/>
  </mergeCells>
  <printOptions horizontalCentered="1"/>
  <pageMargins left="0.4" right="0.4" top="0.5" bottom="0.5" header="0.3" footer="0.3"/>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R123"/>
  <sheetViews>
    <sheetView showZeros="0" zoomScale="130" zoomScaleNormal="130" zoomScalePageLayoutView="0" workbookViewId="0" topLeftCell="A2">
      <pane xSplit="2" ySplit="5"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4.57421875" style="220" customWidth="1"/>
    <col min="2" max="2" width="30.8515625" style="220" customWidth="1"/>
    <col min="3" max="3" width="8.8515625" style="220" customWidth="1"/>
    <col min="4" max="4" width="8.00390625" style="220" customWidth="1"/>
    <col min="5" max="5" width="6.57421875" style="220" hidden="1" customWidth="1"/>
    <col min="6" max="6" width="6.7109375" style="220" customWidth="1"/>
    <col min="7" max="7" width="7.00390625" style="220" customWidth="1"/>
    <col min="8" max="8" width="7.8515625" style="220" customWidth="1"/>
    <col min="9" max="9" width="6.140625" style="220" customWidth="1"/>
    <col min="10" max="10" width="0" style="220" hidden="1" customWidth="1"/>
    <col min="11" max="11" width="6.7109375" style="220" customWidth="1"/>
    <col min="12" max="12" width="7.421875" style="220" customWidth="1"/>
    <col min="13" max="13" width="6.7109375" style="220" customWidth="1"/>
    <col min="14" max="14" width="6.8515625" style="220" customWidth="1"/>
    <col min="15" max="15" width="8.00390625" style="220" customWidth="1"/>
    <col min="16" max="16" width="8.421875" style="220" customWidth="1"/>
    <col min="17" max="17" width="7.00390625" style="220" customWidth="1"/>
    <col min="18" max="18" width="6.7109375" style="220" customWidth="1"/>
    <col min="19" max="16384" width="9.140625" style="220" customWidth="1"/>
  </cols>
  <sheetData>
    <row r="1" ht="12.75">
      <c r="R1" s="271" t="s">
        <v>207</v>
      </c>
    </row>
    <row r="2" spans="1:18" ht="33.75" customHeight="1">
      <c r="A2" s="478" t="s">
        <v>465</v>
      </c>
      <c r="B2" s="445"/>
      <c r="C2" s="445"/>
      <c r="D2" s="445"/>
      <c r="E2" s="445"/>
      <c r="F2" s="445"/>
      <c r="G2" s="445"/>
      <c r="H2" s="445"/>
      <c r="I2" s="445"/>
      <c r="J2" s="445"/>
      <c r="K2" s="445"/>
      <c r="L2" s="445"/>
      <c r="M2" s="445"/>
      <c r="N2" s="445"/>
      <c r="O2" s="445"/>
      <c r="P2" s="445"/>
      <c r="Q2" s="445"/>
      <c r="R2" s="445"/>
    </row>
    <row r="3" ht="12.75">
      <c r="R3" s="272" t="s">
        <v>10</v>
      </c>
    </row>
    <row r="4" spans="1:18" ht="12.75">
      <c r="A4" s="483" t="s">
        <v>0</v>
      </c>
      <c r="B4" s="483" t="s">
        <v>173</v>
      </c>
      <c r="C4" s="483" t="s">
        <v>130</v>
      </c>
      <c r="D4" s="483" t="s">
        <v>100</v>
      </c>
      <c r="E4" s="483" t="s">
        <v>101</v>
      </c>
      <c r="F4" s="483" t="s">
        <v>193</v>
      </c>
      <c r="G4" s="483" t="s">
        <v>194</v>
      </c>
      <c r="H4" s="483" t="s">
        <v>195</v>
      </c>
      <c r="I4" s="483" t="s">
        <v>196</v>
      </c>
      <c r="J4" s="483" t="s">
        <v>197</v>
      </c>
      <c r="K4" s="483" t="s">
        <v>198</v>
      </c>
      <c r="L4" s="483" t="s">
        <v>199</v>
      </c>
      <c r="M4" s="483" t="s">
        <v>200</v>
      </c>
      <c r="N4" s="483" t="s">
        <v>208</v>
      </c>
      <c r="O4" s="483"/>
      <c r="P4" s="483" t="s">
        <v>201</v>
      </c>
      <c r="Q4" s="483" t="s">
        <v>202</v>
      </c>
      <c r="R4" s="483" t="s">
        <v>204</v>
      </c>
    </row>
    <row r="5" spans="1:18" ht="78.75" customHeight="1">
      <c r="A5" s="483"/>
      <c r="B5" s="483"/>
      <c r="C5" s="483"/>
      <c r="D5" s="483"/>
      <c r="E5" s="483"/>
      <c r="F5" s="483"/>
      <c r="G5" s="483"/>
      <c r="H5" s="483"/>
      <c r="I5" s="483"/>
      <c r="J5" s="483"/>
      <c r="K5" s="483"/>
      <c r="L5" s="483"/>
      <c r="M5" s="483"/>
      <c r="N5" s="273" t="s">
        <v>209</v>
      </c>
      <c r="O5" s="273" t="s">
        <v>210</v>
      </c>
      <c r="P5" s="483"/>
      <c r="Q5" s="483"/>
      <c r="R5" s="483"/>
    </row>
    <row r="6" spans="1:18" ht="12.75">
      <c r="A6" s="274" t="s">
        <v>1</v>
      </c>
      <c r="B6" s="274" t="s">
        <v>6</v>
      </c>
      <c r="C6" s="275" t="s">
        <v>51</v>
      </c>
      <c r="D6" s="275" t="s">
        <v>52</v>
      </c>
      <c r="E6" s="274"/>
      <c r="F6" s="275" t="s">
        <v>53</v>
      </c>
      <c r="G6" s="275" t="s">
        <v>54</v>
      </c>
      <c r="H6" s="275" t="s">
        <v>299</v>
      </c>
      <c r="I6" s="275" t="s">
        <v>300</v>
      </c>
      <c r="J6" s="274"/>
      <c r="K6" s="275" t="s">
        <v>301</v>
      </c>
      <c r="L6" s="275" t="s">
        <v>302</v>
      </c>
      <c r="M6" s="275" t="s">
        <v>303</v>
      </c>
      <c r="N6" s="275" t="s">
        <v>304</v>
      </c>
      <c r="O6" s="275" t="s">
        <v>305</v>
      </c>
      <c r="P6" s="275" t="s">
        <v>306</v>
      </c>
      <c r="Q6" s="275" t="s">
        <v>307</v>
      </c>
      <c r="R6" s="275" t="s">
        <v>308</v>
      </c>
    </row>
    <row r="7" spans="1:18" ht="12.75">
      <c r="A7" s="276"/>
      <c r="B7" s="277" t="s">
        <v>149</v>
      </c>
      <c r="C7" s="217">
        <f aca="true" t="shared" si="0" ref="C7:R7">SUM(C8:C123)</f>
        <v>1016318</v>
      </c>
      <c r="D7" s="217">
        <f t="shared" si="0"/>
        <v>534542</v>
      </c>
      <c r="E7" s="217">
        <f t="shared" si="0"/>
        <v>0</v>
      </c>
      <c r="F7" s="217">
        <f t="shared" si="0"/>
        <v>8564</v>
      </c>
      <c r="G7" s="217">
        <f t="shared" si="0"/>
        <v>5891</v>
      </c>
      <c r="H7" s="217">
        <f t="shared" si="0"/>
        <v>104368</v>
      </c>
      <c r="I7" s="217">
        <f t="shared" si="0"/>
        <v>5026</v>
      </c>
      <c r="J7" s="217">
        <f t="shared" si="0"/>
        <v>0</v>
      </c>
      <c r="K7" s="217">
        <f t="shared" si="0"/>
        <v>2744</v>
      </c>
      <c r="L7" s="217">
        <f t="shared" si="0"/>
        <v>83886</v>
      </c>
      <c r="M7" s="217">
        <f t="shared" si="0"/>
        <v>54882</v>
      </c>
      <c r="N7" s="217">
        <f t="shared" si="0"/>
        <v>3559</v>
      </c>
      <c r="O7" s="217">
        <f t="shared" si="0"/>
        <v>0</v>
      </c>
      <c r="P7" s="217">
        <f t="shared" si="0"/>
        <v>84325</v>
      </c>
      <c r="Q7" s="217">
        <f t="shared" si="0"/>
        <v>97811</v>
      </c>
      <c r="R7" s="217">
        <f t="shared" si="0"/>
        <v>34279</v>
      </c>
    </row>
    <row r="8" spans="1:18" ht="12.75">
      <c r="A8" s="278">
        <v>1</v>
      </c>
      <c r="B8" s="279" t="s">
        <v>211</v>
      </c>
      <c r="C8" s="227">
        <f>SUM(D8:M8,P8:R8)</f>
        <v>18858</v>
      </c>
      <c r="D8" s="227">
        <f>'[4]B37'!D8</f>
        <v>0</v>
      </c>
      <c r="E8" s="227"/>
      <c r="F8" s="227">
        <f>'[4]B37'!F8</f>
        <v>0</v>
      </c>
      <c r="G8" s="227">
        <f>'[4]B37'!G8</f>
        <v>0</v>
      </c>
      <c r="H8" s="227">
        <f>'[4]B37'!H8</f>
        <v>0</v>
      </c>
      <c r="I8" s="227">
        <f>'[4]B37'!I8</f>
        <v>0</v>
      </c>
      <c r="J8" s="227">
        <f>'[4]B37'!J8</f>
        <v>0</v>
      </c>
      <c r="K8" s="227">
        <f>'[4]B37'!K8</f>
        <v>0</v>
      </c>
      <c r="L8" s="227">
        <f>'[4]B37'!L8</f>
        <v>0</v>
      </c>
      <c r="M8" s="227">
        <f>'[4]B37'!M8</f>
        <v>0</v>
      </c>
      <c r="N8" s="227">
        <f>'[4]B37'!N8</f>
        <v>0</v>
      </c>
      <c r="O8" s="227">
        <f>'[4]B37'!O8</f>
        <v>0</v>
      </c>
      <c r="P8" s="227">
        <f>'[4]B37'!P8+80+3962+1418</f>
        <v>18618</v>
      </c>
      <c r="Q8" s="227">
        <f>'[4]B37'!Q8</f>
        <v>240</v>
      </c>
      <c r="R8" s="227">
        <f>'[4]B37'!R8</f>
        <v>0</v>
      </c>
    </row>
    <row r="9" spans="1:18" ht="12.75">
      <c r="A9" s="278">
        <v>2</v>
      </c>
      <c r="B9" s="279" t="s">
        <v>212</v>
      </c>
      <c r="C9" s="227">
        <f>SUM(D9:M9,P9:R9)</f>
        <v>4467</v>
      </c>
      <c r="D9" s="227">
        <f>'[4]B37'!D9</f>
        <v>0</v>
      </c>
      <c r="E9" s="227"/>
      <c r="F9" s="227">
        <f>'[4]B37'!F9</f>
        <v>0</v>
      </c>
      <c r="G9" s="227">
        <f>'[4]B37'!G9</f>
        <v>0</v>
      </c>
      <c r="H9" s="227">
        <f>'[4]B37'!H9</f>
        <v>0</v>
      </c>
      <c r="I9" s="227">
        <f>'[4]B37'!I9</f>
        <v>0</v>
      </c>
      <c r="J9" s="227">
        <f>'[4]B37'!J9</f>
        <v>0</v>
      </c>
      <c r="K9" s="227">
        <f>'[4]B37'!K9</f>
        <v>0</v>
      </c>
      <c r="L9" s="227">
        <f>'[4]B37'!L9</f>
        <v>0</v>
      </c>
      <c r="M9" s="227">
        <f>'[4]B37'!M9+45</f>
        <v>345</v>
      </c>
      <c r="N9" s="227">
        <f>'[4]B37'!N9</f>
        <v>0</v>
      </c>
      <c r="O9" s="227">
        <f>'[4]B37'!O9</f>
        <v>0</v>
      </c>
      <c r="P9" s="227">
        <f>'[4]B37'!P9+25+131</f>
        <v>4122</v>
      </c>
      <c r="Q9" s="227">
        <f>'[4]B37'!Q9</f>
        <v>0</v>
      </c>
      <c r="R9" s="227">
        <f>'[4]B37'!R9</f>
        <v>0</v>
      </c>
    </row>
    <row r="10" spans="1:18" ht="12.75">
      <c r="A10" s="278">
        <v>3</v>
      </c>
      <c r="B10" s="279" t="s">
        <v>213</v>
      </c>
      <c r="C10" s="227">
        <f aca="true" t="shared" si="1" ref="C10:C73">SUM(D10:M10,P10:R10)</f>
        <v>3059</v>
      </c>
      <c r="D10" s="227">
        <f>'[4]B37'!D10</f>
        <v>0</v>
      </c>
      <c r="E10" s="227"/>
      <c r="F10" s="227">
        <f>'[4]B37'!F10</f>
        <v>0</v>
      </c>
      <c r="G10" s="227">
        <f>'[4]B37'!G10</f>
        <v>0</v>
      </c>
      <c r="H10" s="227">
        <f>'[4]B37'!H10</f>
        <v>0</v>
      </c>
      <c r="I10" s="227">
        <f>'[4]B37'!I10</f>
        <v>0</v>
      </c>
      <c r="J10" s="227">
        <f>'[4]B37'!J10</f>
        <v>0</v>
      </c>
      <c r="K10" s="227">
        <f>'[4]B37'!K10</f>
        <v>0</v>
      </c>
      <c r="L10" s="227">
        <f>'[4]B37'!L10</f>
        <v>0</v>
      </c>
      <c r="M10" s="227">
        <f>'[4]B37'!M10</f>
        <v>0</v>
      </c>
      <c r="N10" s="227">
        <f>'[4]B37'!N10</f>
        <v>0</v>
      </c>
      <c r="O10" s="227">
        <f>'[4]B37'!O10</f>
        <v>0</v>
      </c>
      <c r="P10" s="227">
        <f>'[4]B37'!P10+10+632</f>
        <v>3059</v>
      </c>
      <c r="Q10" s="227">
        <f>'[4]B37'!Q10</f>
        <v>0</v>
      </c>
      <c r="R10" s="227">
        <f>'[4]B37'!R10</f>
        <v>0</v>
      </c>
    </row>
    <row r="11" spans="1:18" ht="12.75">
      <c r="A11" s="278">
        <v>4</v>
      </c>
      <c r="B11" s="279" t="s">
        <v>214</v>
      </c>
      <c r="C11" s="227">
        <f t="shared" si="1"/>
        <v>2466</v>
      </c>
      <c r="D11" s="227">
        <f>'[4]B37'!D11</f>
        <v>0</v>
      </c>
      <c r="E11" s="227"/>
      <c r="F11" s="227">
        <f>'[4]B37'!F11</f>
        <v>0</v>
      </c>
      <c r="G11" s="227">
        <f>'[4]B37'!G11</f>
        <v>0</v>
      </c>
      <c r="H11" s="227">
        <f>'[4]B37'!H11</f>
        <v>0</v>
      </c>
      <c r="I11" s="227">
        <f>'[4]B37'!I11</f>
        <v>300</v>
      </c>
      <c r="J11" s="227">
        <f>'[4]B37'!J11</f>
        <v>0</v>
      </c>
      <c r="K11" s="227">
        <f>'[4]B37'!K11</f>
        <v>0</v>
      </c>
      <c r="L11" s="227">
        <f>'[4]B37'!L11</f>
        <v>0</v>
      </c>
      <c r="M11" s="227">
        <f>'[4]B37'!M11+51</f>
        <v>51</v>
      </c>
      <c r="N11" s="227">
        <f>'[4]B37'!N11</f>
        <v>0</v>
      </c>
      <c r="O11" s="227">
        <f>'[4]B37'!O11</f>
        <v>0</v>
      </c>
      <c r="P11" s="227">
        <f>'[4]B37'!P11+13-16</f>
        <v>2115</v>
      </c>
      <c r="Q11" s="227">
        <f>'[4]B37'!Q11</f>
        <v>0</v>
      </c>
      <c r="R11" s="227">
        <f>'[4]B37'!R11</f>
        <v>0</v>
      </c>
    </row>
    <row r="12" spans="1:18" ht="12.75">
      <c r="A12" s="278">
        <v>5</v>
      </c>
      <c r="B12" s="279" t="s">
        <v>215</v>
      </c>
      <c r="C12" s="227">
        <f t="shared" si="1"/>
        <v>126862</v>
      </c>
      <c r="D12" s="227">
        <f>'[4]B37'!D12+100+116+13+92+160</f>
        <v>581</v>
      </c>
      <c r="E12" s="227"/>
      <c r="F12" s="227">
        <f>'[4]B37'!F12</f>
        <v>0</v>
      </c>
      <c r="G12" s="227">
        <f>'[4]B37'!G12</f>
        <v>0</v>
      </c>
      <c r="H12" s="227">
        <f>'[4]B37'!H12+458</f>
        <v>31764</v>
      </c>
      <c r="I12" s="227">
        <f>'[4]B37'!I12</f>
        <v>0</v>
      </c>
      <c r="J12" s="227">
        <f>'[4]B37'!J12</f>
        <v>0</v>
      </c>
      <c r="K12" s="227">
        <f>'[4]B37'!K12</f>
        <v>0</v>
      </c>
      <c r="L12" s="227">
        <f>'[4]B37'!L12</f>
        <v>0</v>
      </c>
      <c r="M12" s="227">
        <f>'[4]B37'!M12</f>
        <v>0</v>
      </c>
      <c r="N12" s="227">
        <f>'[4]B37'!N12</f>
        <v>0</v>
      </c>
      <c r="O12" s="227">
        <f>'[4]B37'!O12</f>
        <v>0</v>
      </c>
      <c r="P12" s="227">
        <f>'[4]B37'!P12+1064+20+21-6</f>
        <v>3174</v>
      </c>
      <c r="Q12" s="227">
        <f>'[4]B37'!Q12+53+651</f>
        <v>91343</v>
      </c>
      <c r="R12" s="227">
        <f>'[4]B37'!R12</f>
        <v>0</v>
      </c>
    </row>
    <row r="13" spans="1:18" ht="12.75">
      <c r="A13" s="278">
        <v>6</v>
      </c>
      <c r="B13" s="279" t="s">
        <v>216</v>
      </c>
      <c r="C13" s="227">
        <f t="shared" si="1"/>
        <v>48799</v>
      </c>
      <c r="D13" s="227">
        <f>'[4]B37'!D13</f>
        <v>0</v>
      </c>
      <c r="E13" s="227"/>
      <c r="F13" s="227">
        <f>'[4]B37'!F13</f>
        <v>0</v>
      </c>
      <c r="G13" s="227">
        <f>'[4]B37'!G13</f>
        <v>0</v>
      </c>
      <c r="H13" s="227">
        <f>'[4]B37'!H13</f>
        <v>0</v>
      </c>
      <c r="I13" s="227">
        <f>'[4]B37'!I13</f>
        <v>0</v>
      </c>
      <c r="J13" s="227">
        <f>'[4]B37'!J13</f>
        <v>0</v>
      </c>
      <c r="K13" s="227">
        <f>'[4]B37'!K13</f>
        <v>0</v>
      </c>
      <c r="L13" s="227">
        <f>'[4]B37'!L13</f>
        <v>0</v>
      </c>
      <c r="M13" s="227">
        <f>38417</f>
        <v>38417</v>
      </c>
      <c r="N13" s="227">
        <f>'[4]B37'!N13</f>
        <v>0</v>
      </c>
      <c r="O13" s="227">
        <f>'[4]B37'!O13</f>
        <v>0</v>
      </c>
      <c r="P13" s="227">
        <f>'[4]B37'!P13+3031+134+961</f>
        <v>10382</v>
      </c>
      <c r="Q13" s="227">
        <f>'[4]B37'!Q13</f>
        <v>0</v>
      </c>
      <c r="R13" s="227">
        <f>'[4]B37'!R13</f>
        <v>0</v>
      </c>
    </row>
    <row r="14" spans="1:18" ht="12.75">
      <c r="A14" s="278">
        <v>7</v>
      </c>
      <c r="B14" s="279" t="s">
        <v>217</v>
      </c>
      <c r="C14" s="227">
        <f t="shared" si="1"/>
        <v>80038</v>
      </c>
      <c r="D14" s="227">
        <f>'[4]B37'!D14</f>
        <v>0</v>
      </c>
      <c r="E14" s="227"/>
      <c r="F14" s="227">
        <f>'[4]B37'!F14</f>
        <v>0</v>
      </c>
      <c r="G14" s="227">
        <f>'[4]B37'!G14</f>
        <v>0</v>
      </c>
      <c r="H14" s="227">
        <f>'[4]B37'!H14</f>
        <v>0</v>
      </c>
      <c r="I14" s="227">
        <f>'[4]B37'!I14</f>
        <v>240</v>
      </c>
      <c r="J14" s="227">
        <f>'[4]B37'!J14</f>
        <v>0</v>
      </c>
      <c r="K14" s="227">
        <f>'[4]B37'!K14</f>
        <v>0</v>
      </c>
      <c r="L14" s="227">
        <f>'[4]B37'!L14+42+73+134</f>
        <v>68806</v>
      </c>
      <c r="M14" s="227">
        <f>'[4]B37'!M14</f>
        <v>6709</v>
      </c>
      <c r="N14" s="227">
        <f>'[4]B37'!N14</f>
        <v>0</v>
      </c>
      <c r="O14" s="227">
        <f>'[4]B37'!O14</f>
        <v>0</v>
      </c>
      <c r="P14" s="227">
        <f>'[4]B37'!P14+27-27</f>
        <v>4283</v>
      </c>
      <c r="Q14" s="227">
        <f>'[4]B37'!Q14</f>
        <v>0</v>
      </c>
      <c r="R14" s="227">
        <f>'[4]B37'!R14</f>
        <v>0</v>
      </c>
    </row>
    <row r="15" spans="1:18" ht="12.75">
      <c r="A15" s="278">
        <v>8</v>
      </c>
      <c r="B15" s="279" t="s">
        <v>218</v>
      </c>
      <c r="C15" s="227">
        <f t="shared" si="1"/>
        <v>1843</v>
      </c>
      <c r="D15" s="227">
        <f>'[4]B37'!D15</f>
        <v>0</v>
      </c>
      <c r="E15" s="227"/>
      <c r="F15" s="227">
        <f>'[4]B37'!F15</f>
        <v>0</v>
      </c>
      <c r="G15" s="227">
        <f>'[4]B37'!G15</f>
        <v>0</v>
      </c>
      <c r="H15" s="227">
        <f>'[4]B37'!H15</f>
        <v>0</v>
      </c>
      <c r="I15" s="227">
        <f>'[4]B37'!I15</f>
        <v>0</v>
      </c>
      <c r="J15" s="227">
        <f>'[4]B37'!J15</f>
        <v>0</v>
      </c>
      <c r="K15" s="227">
        <f>'[4]B37'!K15</f>
        <v>0</v>
      </c>
      <c r="L15" s="227">
        <f>'[4]B37'!L15</f>
        <v>0</v>
      </c>
      <c r="M15" s="227">
        <f>'[4]B37'!M15</f>
        <v>0</v>
      </c>
      <c r="N15" s="227">
        <f>'[4]B37'!N15</f>
        <v>0</v>
      </c>
      <c r="O15" s="227">
        <f>'[4]B37'!O15</f>
        <v>0</v>
      </c>
      <c r="P15" s="227">
        <f>'[4]B37'!P15+10-13</f>
        <v>1843</v>
      </c>
      <c r="Q15" s="227">
        <f>'[4]B37'!Q15</f>
        <v>0</v>
      </c>
      <c r="R15" s="227">
        <f>'[4]B37'!R15</f>
        <v>0</v>
      </c>
    </row>
    <row r="16" spans="1:18" ht="12.75">
      <c r="A16" s="278">
        <v>9</v>
      </c>
      <c r="B16" s="279" t="s">
        <v>219</v>
      </c>
      <c r="C16" s="227">
        <f t="shared" si="1"/>
        <v>2101</v>
      </c>
      <c r="D16" s="227">
        <f>'[4]B37'!D16</f>
        <v>0</v>
      </c>
      <c r="E16" s="227"/>
      <c r="F16" s="227">
        <f>'[4]B37'!F16</f>
        <v>0</v>
      </c>
      <c r="G16" s="227">
        <f>'[4]B37'!G16</f>
        <v>0</v>
      </c>
      <c r="H16" s="227">
        <f>'[4]B37'!H16</f>
        <v>0</v>
      </c>
      <c r="I16" s="227">
        <f>'[4]B37'!I16</f>
        <v>0</v>
      </c>
      <c r="J16" s="227">
        <f>'[4]B37'!J16</f>
        <v>0</v>
      </c>
      <c r="K16" s="227">
        <f>'[4]B37'!K16</f>
        <v>0</v>
      </c>
      <c r="L16" s="227">
        <f>'[4]B37'!L16</f>
        <v>0</v>
      </c>
      <c r="M16" s="227">
        <f>'[4]B37'!M16</f>
        <v>0</v>
      </c>
      <c r="N16" s="227">
        <f>'[4]B37'!N16</f>
        <v>0</v>
      </c>
      <c r="O16" s="227">
        <f>'[4]B37'!O16</f>
        <v>0</v>
      </c>
      <c r="P16" s="227">
        <f>'[4]B37'!P16+13+64</f>
        <v>2101</v>
      </c>
      <c r="Q16" s="227">
        <f>'[4]B37'!Q16</f>
        <v>0</v>
      </c>
      <c r="R16" s="227">
        <f>'[4]B37'!R16</f>
        <v>0</v>
      </c>
    </row>
    <row r="17" spans="1:18" ht="12.75">
      <c r="A17" s="278">
        <v>10</v>
      </c>
      <c r="B17" s="279" t="s">
        <v>220</v>
      </c>
      <c r="C17" s="227">
        <f t="shared" si="1"/>
        <v>13208</v>
      </c>
      <c r="D17" s="227">
        <f>'[4]B37'!D17</f>
        <v>0</v>
      </c>
      <c r="E17" s="227"/>
      <c r="F17" s="227">
        <f>'[4]B37'!F17</f>
        <v>0</v>
      </c>
      <c r="G17" s="227">
        <f>'[4]B37'!G17</f>
        <v>0</v>
      </c>
      <c r="H17" s="227">
        <f>'[4]B37'!H17</f>
        <v>0</v>
      </c>
      <c r="I17" s="227">
        <f>'[4]B37'!I17</f>
        <v>0</v>
      </c>
      <c r="J17" s="227">
        <f>'[4]B37'!J17</f>
        <v>0</v>
      </c>
      <c r="K17" s="227">
        <f>'[4]B37'!K17</f>
        <v>0</v>
      </c>
      <c r="L17" s="227">
        <f>'[4]B37'!L17</f>
        <v>0</v>
      </c>
      <c r="M17" s="227">
        <f>'[4]B37'!M17</f>
        <v>0</v>
      </c>
      <c r="N17" s="227">
        <f>'[4]B37'!N17</f>
        <v>0</v>
      </c>
      <c r="O17" s="227">
        <f>'[4]B37'!O17</f>
        <v>0</v>
      </c>
      <c r="P17" s="227">
        <f>'[4]B37'!P17+25+6878</f>
        <v>13208</v>
      </c>
      <c r="Q17" s="227">
        <f>'[4]B37'!Q17</f>
        <v>0</v>
      </c>
      <c r="R17" s="227">
        <f>'[4]B37'!R17</f>
        <v>0</v>
      </c>
    </row>
    <row r="18" spans="1:18" ht="12.75">
      <c r="A18" s="278">
        <v>11</v>
      </c>
      <c r="B18" s="279" t="s">
        <v>221</v>
      </c>
      <c r="C18" s="227">
        <f t="shared" si="1"/>
        <v>4191</v>
      </c>
      <c r="D18" s="227">
        <f>'[4]B37'!D18+8+687+59+126</f>
        <v>880</v>
      </c>
      <c r="E18" s="227"/>
      <c r="F18" s="227">
        <f>'[4]B37'!F18</f>
        <v>0</v>
      </c>
      <c r="G18" s="227">
        <f>'[4]B37'!G18</f>
        <v>0</v>
      </c>
      <c r="H18" s="227">
        <f>'[4]B37'!H18</f>
        <v>0</v>
      </c>
      <c r="I18" s="227">
        <f>'[4]B37'!I18</f>
        <v>0</v>
      </c>
      <c r="J18" s="227">
        <f>'[4]B37'!J18</f>
        <v>0</v>
      </c>
      <c r="K18" s="227">
        <f>'[4]B37'!K18</f>
        <v>0</v>
      </c>
      <c r="L18" s="227">
        <f>'[4]B37'!L18</f>
        <v>0</v>
      </c>
      <c r="M18" s="227">
        <f>'[4]B37'!M18</f>
        <v>0</v>
      </c>
      <c r="N18" s="227">
        <f>'[4]B37'!N18</f>
        <v>0</v>
      </c>
      <c r="O18" s="227">
        <f>'[4]B37'!O18</f>
        <v>0</v>
      </c>
      <c r="P18" s="227">
        <f>'[4]B37'!P18+20-19</f>
        <v>3311</v>
      </c>
      <c r="Q18" s="227">
        <f>'[4]B37'!Q18</f>
        <v>0</v>
      </c>
      <c r="R18" s="227">
        <f>'[4]B37'!R18</f>
        <v>0</v>
      </c>
    </row>
    <row r="19" spans="1:18" ht="12.75">
      <c r="A19" s="278">
        <v>12</v>
      </c>
      <c r="B19" s="279" t="s">
        <v>222</v>
      </c>
      <c r="C19" s="227">
        <f t="shared" si="1"/>
        <v>2232</v>
      </c>
      <c r="D19" s="227">
        <f>'[4]B37'!D19</f>
        <v>0</v>
      </c>
      <c r="E19" s="227"/>
      <c r="F19" s="227">
        <f>'[4]B37'!F19</f>
        <v>0</v>
      </c>
      <c r="G19" s="227">
        <f>'[4]B37'!G19</f>
        <v>0</v>
      </c>
      <c r="H19" s="227">
        <f>'[4]B37'!H19+107+7</f>
        <v>488</v>
      </c>
      <c r="I19" s="227">
        <f>'[4]B37'!I19</f>
        <v>0</v>
      </c>
      <c r="J19" s="227">
        <f>'[4]B37'!J19</f>
        <v>0</v>
      </c>
      <c r="K19" s="227">
        <f>'[4]B37'!K19</f>
        <v>0</v>
      </c>
      <c r="L19" s="227">
        <f>'[4]B37'!L19</f>
        <v>0</v>
      </c>
      <c r="M19" s="227">
        <f>'[4]B37'!M19</f>
        <v>0</v>
      </c>
      <c r="N19" s="227">
        <f>'[4]B37'!N19</f>
        <v>0</v>
      </c>
      <c r="O19" s="227">
        <f>'[4]B37'!O19</f>
        <v>0</v>
      </c>
      <c r="P19" s="227">
        <f>'[4]B37'!P19+592+11-13</f>
        <v>1744</v>
      </c>
      <c r="Q19" s="227">
        <f>'[4]B37'!Q19</f>
        <v>0</v>
      </c>
      <c r="R19" s="227">
        <f>'[4]B37'!R19</f>
        <v>0</v>
      </c>
    </row>
    <row r="20" spans="1:18" ht="12.75">
      <c r="A20" s="278">
        <v>13</v>
      </c>
      <c r="B20" s="279" t="s">
        <v>495</v>
      </c>
      <c r="C20" s="227">
        <f t="shared" si="1"/>
        <v>32857</v>
      </c>
      <c r="D20" s="227">
        <f>'[4]B37'!D20+1921+18810+8090+103+137+202</f>
        <v>29263</v>
      </c>
      <c r="E20" s="227"/>
      <c r="F20" s="227"/>
      <c r="G20" s="227">
        <f>'[4]B37'!G20</f>
        <v>0</v>
      </c>
      <c r="H20" s="227">
        <f>'[4]B37'!H20</f>
        <v>0</v>
      </c>
      <c r="I20" s="227">
        <f>'[4]B37'!I20</f>
        <v>0</v>
      </c>
      <c r="J20" s="227">
        <f>'[4]B37'!J20</f>
        <v>0</v>
      </c>
      <c r="K20" s="227">
        <f>'[4]B37'!K20</f>
        <v>0</v>
      </c>
      <c r="L20" s="227">
        <f>'[4]B37'!L20</f>
        <v>0</v>
      </c>
      <c r="M20" s="227">
        <f>N20+35</f>
        <v>3594</v>
      </c>
      <c r="N20" s="227">
        <f>'[4]B37'!N20+3559</f>
        <v>3559</v>
      </c>
      <c r="O20" s="227">
        <f>'[4]B37'!O20</f>
        <v>0</v>
      </c>
      <c r="P20" s="227">
        <f>'[4]B37'!P20</f>
        <v>0</v>
      </c>
      <c r="Q20" s="227">
        <f>'[4]B37'!Q20</f>
        <v>0</v>
      </c>
      <c r="R20" s="227">
        <f>'[4]B37'!R20</f>
        <v>0</v>
      </c>
    </row>
    <row r="21" spans="1:18" ht="12.75">
      <c r="A21" s="278">
        <v>14</v>
      </c>
      <c r="B21" s="279" t="s">
        <v>265</v>
      </c>
      <c r="C21" s="227">
        <f t="shared" si="1"/>
        <v>45713</v>
      </c>
      <c r="D21" s="227">
        <f>'[4]B37'!D21</f>
        <v>0</v>
      </c>
      <c r="E21" s="227"/>
      <c r="F21" s="227">
        <f>'[4]B37'!F21</f>
        <v>0</v>
      </c>
      <c r="G21" s="227">
        <f>'[4]B37'!G21</f>
        <v>0</v>
      </c>
      <c r="H21" s="227">
        <f>'[4]B37'!H21</f>
        <v>45713</v>
      </c>
      <c r="I21" s="227">
        <f>'[4]B37'!I21</f>
        <v>0</v>
      </c>
      <c r="J21" s="227">
        <f>'[4]B37'!J21</f>
        <v>0</v>
      </c>
      <c r="K21" s="227">
        <f>'[4]B37'!K21</f>
        <v>0</v>
      </c>
      <c r="L21" s="227">
        <f>'[4]B37'!L21</f>
        <v>0</v>
      </c>
      <c r="M21" s="227">
        <f>'[4]B37'!M21</f>
        <v>0</v>
      </c>
      <c r="N21" s="227">
        <f>'[4]B37'!N21</f>
        <v>0</v>
      </c>
      <c r="O21" s="227">
        <f>'[4]B37'!O21</f>
        <v>0</v>
      </c>
      <c r="P21" s="227">
        <f>'[4]B37'!P21</f>
        <v>0</v>
      </c>
      <c r="Q21" s="227">
        <f>'[4]B37'!Q21</f>
        <v>0</v>
      </c>
      <c r="R21" s="227">
        <f>'[4]B37'!R21</f>
        <v>0</v>
      </c>
    </row>
    <row r="22" spans="1:18" ht="12.75">
      <c r="A22" s="278">
        <v>15</v>
      </c>
      <c r="B22" s="279" t="s">
        <v>223</v>
      </c>
      <c r="C22" s="227">
        <f t="shared" si="1"/>
        <v>8972</v>
      </c>
      <c r="D22" s="227">
        <f>'[4]B37'!D22</f>
        <v>0</v>
      </c>
      <c r="E22" s="227"/>
      <c r="F22" s="227">
        <f>'[4]B37'!F22</f>
        <v>0</v>
      </c>
      <c r="G22" s="227">
        <f>'[4]B37'!G22</f>
        <v>0</v>
      </c>
      <c r="H22" s="227">
        <f>'[4]B37'!H22</f>
        <v>8972</v>
      </c>
      <c r="I22" s="227">
        <f>'[4]B37'!I22</f>
        <v>0</v>
      </c>
      <c r="J22" s="227">
        <f>'[4]B37'!J22</f>
        <v>0</v>
      </c>
      <c r="K22" s="227">
        <f>'[4]B37'!K22</f>
        <v>0</v>
      </c>
      <c r="L22" s="227">
        <f>'[4]B37'!L22</f>
        <v>0</v>
      </c>
      <c r="M22" s="227">
        <f>'[4]B37'!M22</f>
        <v>0</v>
      </c>
      <c r="N22" s="227">
        <f>'[4]B37'!N22</f>
        <v>0</v>
      </c>
      <c r="O22" s="227">
        <f>'[4]B37'!O22</f>
        <v>0</v>
      </c>
      <c r="P22" s="227">
        <f>'[4]B37'!P22</f>
        <v>0</v>
      </c>
      <c r="Q22" s="227">
        <f>'[4]B37'!Q22</f>
        <v>0</v>
      </c>
      <c r="R22" s="227">
        <f>'[4]B37'!R22</f>
        <v>0</v>
      </c>
    </row>
    <row r="23" spans="1:18" ht="12.75">
      <c r="A23" s="278">
        <v>16</v>
      </c>
      <c r="B23" s="279" t="s">
        <v>224</v>
      </c>
      <c r="C23" s="227">
        <f t="shared" si="1"/>
        <v>2529</v>
      </c>
      <c r="D23" s="227">
        <f>'[4]B37'!D23</f>
        <v>0</v>
      </c>
      <c r="E23" s="227"/>
      <c r="F23" s="227">
        <f>'[4]B37'!F23</f>
        <v>0</v>
      </c>
      <c r="G23" s="227">
        <f>'[4]B37'!G23</f>
        <v>0</v>
      </c>
      <c r="H23" s="227">
        <f>'[4]B37'!H23</f>
        <v>0</v>
      </c>
      <c r="I23" s="227">
        <f>'[4]B37'!I23+339</f>
        <v>2516</v>
      </c>
      <c r="J23" s="227">
        <f>'[4]B37'!J23</f>
        <v>0</v>
      </c>
      <c r="K23" s="227">
        <f>'[4]B37'!K23</f>
        <v>0</v>
      </c>
      <c r="L23" s="227">
        <f>'[4]B37'!L23</f>
        <v>0</v>
      </c>
      <c r="M23" s="227">
        <f>'[4]B37'!M23+13</f>
        <v>13</v>
      </c>
      <c r="N23" s="227">
        <f>'[4]B37'!N23</f>
        <v>0</v>
      </c>
      <c r="O23" s="227">
        <f>'[4]B37'!O23</f>
        <v>0</v>
      </c>
      <c r="P23" s="227">
        <f>'[4]B37'!P23</f>
        <v>0</v>
      </c>
      <c r="Q23" s="227">
        <f>'[4]B37'!Q23</f>
        <v>0</v>
      </c>
      <c r="R23" s="227">
        <f>'[4]B37'!R23</f>
        <v>0</v>
      </c>
    </row>
    <row r="24" spans="1:18" ht="12.75">
      <c r="A24" s="278">
        <v>17</v>
      </c>
      <c r="B24" s="279" t="s">
        <v>225</v>
      </c>
      <c r="C24" s="227">
        <f t="shared" si="1"/>
        <v>1480</v>
      </c>
      <c r="D24" s="227">
        <f>'[4]B37'!D24</f>
        <v>0</v>
      </c>
      <c r="E24" s="227"/>
      <c r="F24" s="227">
        <f>'[4]B37'!F24</f>
        <v>0</v>
      </c>
      <c r="G24" s="227">
        <f>'[4]B37'!G24</f>
        <v>0</v>
      </c>
      <c r="H24" s="227">
        <f>'[4]B37'!H24</f>
        <v>0</v>
      </c>
      <c r="I24" s="227">
        <f>'[4]B37'!I24+2</f>
        <v>1480</v>
      </c>
      <c r="J24" s="227">
        <f>'[4]B37'!J24</f>
        <v>0</v>
      </c>
      <c r="K24" s="227">
        <f>'[4]B37'!K24</f>
        <v>0</v>
      </c>
      <c r="L24" s="227">
        <f>'[4]B37'!L24</f>
        <v>0</v>
      </c>
      <c r="M24" s="227">
        <f>'[4]B37'!M24</f>
        <v>0</v>
      </c>
      <c r="N24" s="227">
        <f>'[4]B37'!N24</f>
        <v>0</v>
      </c>
      <c r="O24" s="227">
        <f>'[4]B37'!O24</f>
        <v>0</v>
      </c>
      <c r="P24" s="227">
        <f>'[4]B37'!P24</f>
        <v>0</v>
      </c>
      <c r="Q24" s="227">
        <f>'[4]B37'!Q24</f>
        <v>0</v>
      </c>
      <c r="R24" s="227">
        <f>'[4]B37'!R24</f>
        <v>0</v>
      </c>
    </row>
    <row r="25" spans="1:18" ht="12.75">
      <c r="A25" s="278">
        <v>18</v>
      </c>
      <c r="B25" s="279" t="s">
        <v>494</v>
      </c>
      <c r="C25" s="227">
        <f t="shared" si="1"/>
        <v>2744</v>
      </c>
      <c r="D25" s="227">
        <f>'[4]B37'!D25</f>
        <v>0</v>
      </c>
      <c r="E25" s="227"/>
      <c r="F25" s="227">
        <f>'[4]B37'!F25</f>
        <v>0</v>
      </c>
      <c r="G25" s="227">
        <f>'[4]B37'!G25</f>
        <v>0</v>
      </c>
      <c r="H25" s="227">
        <f>'[4]B37'!H25</f>
        <v>0</v>
      </c>
      <c r="I25" s="227">
        <f>'[4]B37'!I25</f>
        <v>0</v>
      </c>
      <c r="J25" s="227">
        <f>'[4]B37'!J25</f>
        <v>0</v>
      </c>
      <c r="K25" s="227">
        <f>'[4]B37'!K25+123+636</f>
        <v>2744</v>
      </c>
      <c r="L25" s="227">
        <f>'[4]B37'!L25</f>
        <v>0</v>
      </c>
      <c r="M25" s="227">
        <f>'[4]B37'!M25</f>
        <v>0</v>
      </c>
      <c r="N25" s="227">
        <f>'[4]B37'!N25</f>
        <v>0</v>
      </c>
      <c r="O25" s="227">
        <f>'[4]B37'!O25</f>
        <v>0</v>
      </c>
      <c r="P25" s="227">
        <f>'[4]B37'!P25</f>
        <v>0</v>
      </c>
      <c r="Q25" s="227">
        <f>'[4]B37'!Q25</f>
        <v>0</v>
      </c>
      <c r="R25" s="227">
        <f>'[4]B37'!R25</f>
        <v>0</v>
      </c>
    </row>
    <row r="26" spans="1:18" ht="12.75">
      <c r="A26" s="278">
        <v>19</v>
      </c>
      <c r="B26" s="279" t="s">
        <v>398</v>
      </c>
      <c r="C26" s="227">
        <f t="shared" si="1"/>
        <v>2931</v>
      </c>
      <c r="D26" s="227">
        <f>'[4]B37'!D26+286</f>
        <v>2931</v>
      </c>
      <c r="E26" s="227"/>
      <c r="F26" s="227">
        <f>'[4]B37'!F26</f>
        <v>0</v>
      </c>
      <c r="G26" s="227">
        <f>'[4]B37'!G26</f>
        <v>0</v>
      </c>
      <c r="H26" s="227">
        <f>'[4]B37'!H26</f>
        <v>0</v>
      </c>
      <c r="I26" s="227">
        <f>'[4]B37'!I26</f>
        <v>0</v>
      </c>
      <c r="J26" s="227">
        <f>'[4]B37'!J26</f>
        <v>0</v>
      </c>
      <c r="K26" s="227">
        <f>'[4]B37'!K26</f>
        <v>0</v>
      </c>
      <c r="L26" s="227">
        <f>'[4]B37'!L26</f>
        <v>0</v>
      </c>
      <c r="M26" s="227">
        <f>'[4]B37'!M26</f>
        <v>0</v>
      </c>
      <c r="N26" s="227">
        <f>'[4]B37'!N26</f>
        <v>0</v>
      </c>
      <c r="O26" s="227">
        <f>'[4]B37'!O26</f>
        <v>0</v>
      </c>
      <c r="P26" s="227">
        <f>'[4]B37'!P26</f>
        <v>0</v>
      </c>
      <c r="Q26" s="227">
        <f>'[4]B37'!Q26</f>
        <v>0</v>
      </c>
      <c r="R26" s="227">
        <f>'[4]B37'!R26</f>
        <v>0</v>
      </c>
    </row>
    <row r="27" spans="1:18" ht="12.75">
      <c r="A27" s="278">
        <v>20</v>
      </c>
      <c r="B27" s="279" t="s">
        <v>227</v>
      </c>
      <c r="C27" s="227">
        <f t="shared" si="1"/>
        <v>8013</v>
      </c>
      <c r="D27" s="227">
        <f>'[4]B37'!D27</f>
        <v>0</v>
      </c>
      <c r="E27" s="227"/>
      <c r="F27" s="227">
        <f>'[4]B37'!F27</f>
        <v>8013</v>
      </c>
      <c r="G27" s="227">
        <f>'[4]B37'!G27</f>
        <v>0</v>
      </c>
      <c r="H27" s="227">
        <f>'[4]B37'!H27</f>
        <v>0</v>
      </c>
      <c r="I27" s="227">
        <f>'[4]B37'!I27</f>
        <v>0</v>
      </c>
      <c r="J27" s="227">
        <f>'[4]B37'!J27</f>
        <v>0</v>
      </c>
      <c r="K27" s="227">
        <f>'[4]B37'!K27</f>
        <v>0</v>
      </c>
      <c r="L27" s="227">
        <f>'[4]B37'!L27</f>
        <v>0</v>
      </c>
      <c r="M27" s="227">
        <f>'[4]B37'!M27</f>
        <v>0</v>
      </c>
      <c r="N27" s="227">
        <f>'[4]B37'!N27</f>
        <v>0</v>
      </c>
      <c r="O27" s="227">
        <f>'[4]B37'!O27</f>
        <v>0</v>
      </c>
      <c r="P27" s="227">
        <f>'[4]B37'!P27</f>
        <v>0</v>
      </c>
      <c r="Q27" s="227">
        <f>'[4]B37'!Q27</f>
        <v>0</v>
      </c>
      <c r="R27" s="227">
        <f>'[4]B37'!R27</f>
        <v>0</v>
      </c>
    </row>
    <row r="28" spans="1:18" ht="12.75">
      <c r="A28" s="278">
        <v>21</v>
      </c>
      <c r="B28" s="279" t="s">
        <v>228</v>
      </c>
      <c r="C28" s="227">
        <f t="shared" si="1"/>
        <v>4214</v>
      </c>
      <c r="D28" s="227">
        <f>'[4]B37'!D28</f>
        <v>0</v>
      </c>
      <c r="E28" s="227"/>
      <c r="F28" s="227">
        <f>'[4]B37'!F28</f>
        <v>0</v>
      </c>
      <c r="G28" s="227">
        <f>'[4]B37'!G28+1286+457</f>
        <v>4211</v>
      </c>
      <c r="H28" s="227">
        <f>'[4]B37'!H28</f>
        <v>0</v>
      </c>
      <c r="I28" s="227">
        <f>'[4]B37'!I28</f>
        <v>0</v>
      </c>
      <c r="J28" s="227">
        <f>'[4]B37'!J28</f>
        <v>0</v>
      </c>
      <c r="K28" s="227">
        <f>'[4]B37'!K28</f>
        <v>0</v>
      </c>
      <c r="L28" s="227">
        <f>'[4]B37'!L28</f>
        <v>0</v>
      </c>
      <c r="M28" s="227">
        <f>'[4]B37'!M28+3</f>
        <v>3</v>
      </c>
      <c r="N28" s="227">
        <f>'[4]B37'!N28</f>
        <v>0</v>
      </c>
      <c r="O28" s="227">
        <f>'[4]B37'!O28</f>
        <v>0</v>
      </c>
      <c r="P28" s="227">
        <f>'[4]B37'!P28</f>
        <v>0</v>
      </c>
      <c r="Q28" s="227">
        <f>'[4]B37'!Q28</f>
        <v>0</v>
      </c>
      <c r="R28" s="227">
        <f>'[4]B37'!R28</f>
        <v>0</v>
      </c>
    </row>
    <row r="29" spans="1:18" ht="12.75">
      <c r="A29" s="278">
        <v>22</v>
      </c>
      <c r="B29" s="279" t="s">
        <v>493</v>
      </c>
      <c r="C29" s="227">
        <f t="shared" si="1"/>
        <v>4160</v>
      </c>
      <c r="D29" s="227">
        <f>'[4]B37'!D29</f>
        <v>0</v>
      </c>
      <c r="E29" s="227"/>
      <c r="F29" s="227">
        <f>'[4]B37'!F29</f>
        <v>0</v>
      </c>
      <c r="G29" s="227">
        <f>'[4]B37'!G29</f>
        <v>0</v>
      </c>
      <c r="H29" s="227">
        <f>'[4]B37'!H29</f>
        <v>0</v>
      </c>
      <c r="I29" s="227">
        <f>'[4]B37'!I29</f>
        <v>0</v>
      </c>
      <c r="J29" s="227">
        <f>'[4]B37'!J29</f>
        <v>0</v>
      </c>
      <c r="K29" s="227">
        <f>'[4]B37'!K29</f>
        <v>0</v>
      </c>
      <c r="L29" s="227">
        <f>'[4]B37'!L29</f>
        <v>0</v>
      </c>
      <c r="M29" s="227">
        <f>'[4]B37'!M29</f>
        <v>0</v>
      </c>
      <c r="N29" s="227">
        <f>'[4]B37'!N29</f>
        <v>0</v>
      </c>
      <c r="O29" s="227">
        <f>'[4]B37'!O29</f>
        <v>0</v>
      </c>
      <c r="P29" s="227">
        <f>'[4]B37'!P29+20+210</f>
        <v>4160</v>
      </c>
      <c r="Q29" s="227">
        <f>'[4]B37'!Q29</f>
        <v>0</v>
      </c>
      <c r="R29" s="227">
        <f>'[4]B37'!R29</f>
        <v>0</v>
      </c>
    </row>
    <row r="30" spans="1:18" ht="12.75">
      <c r="A30" s="278">
        <v>23</v>
      </c>
      <c r="B30" s="279" t="s">
        <v>229</v>
      </c>
      <c r="C30" s="227">
        <f t="shared" si="1"/>
        <v>3179</v>
      </c>
      <c r="D30" s="227">
        <f>'[4]B37'!D30</f>
        <v>0</v>
      </c>
      <c r="E30" s="227"/>
      <c r="F30" s="227">
        <f>'[4]B37'!F30</f>
        <v>0</v>
      </c>
      <c r="G30" s="227">
        <f>'[4]B37'!G30</f>
        <v>0</v>
      </c>
      <c r="H30" s="227">
        <f>'[4]B37'!H30</f>
        <v>0</v>
      </c>
      <c r="I30" s="227">
        <f>'[4]B37'!I30</f>
        <v>0</v>
      </c>
      <c r="J30" s="227">
        <f>'[4]B37'!J30</f>
        <v>0</v>
      </c>
      <c r="K30" s="227">
        <f>'[4]B37'!K30</f>
        <v>0</v>
      </c>
      <c r="L30" s="227">
        <f>'[4]B37'!L30</f>
        <v>0</v>
      </c>
      <c r="M30" s="227">
        <f>'[4]B37'!M30+6</f>
        <v>6</v>
      </c>
      <c r="N30" s="227">
        <f>'[4]B37'!N30</f>
        <v>0</v>
      </c>
      <c r="O30" s="227">
        <f>'[4]B37'!O30</f>
        <v>0</v>
      </c>
      <c r="P30" s="227">
        <f>'[4]B37'!P30+8+317</f>
        <v>3173</v>
      </c>
      <c r="Q30" s="227">
        <f>'[4]B37'!Q30</f>
        <v>0</v>
      </c>
      <c r="R30" s="227">
        <f>'[4]B37'!R30</f>
        <v>0</v>
      </c>
    </row>
    <row r="31" spans="1:18" ht="12.75">
      <c r="A31" s="278">
        <v>24</v>
      </c>
      <c r="B31" s="279" t="s">
        <v>230</v>
      </c>
      <c r="C31" s="227">
        <f t="shared" si="1"/>
        <v>2434</v>
      </c>
      <c r="D31" s="227">
        <f>'[4]B37'!D31</f>
        <v>0</v>
      </c>
      <c r="E31" s="227"/>
      <c r="F31" s="227">
        <f>'[4]B37'!F31</f>
        <v>0</v>
      </c>
      <c r="G31" s="227">
        <f>'[4]B37'!G31</f>
        <v>0</v>
      </c>
      <c r="H31" s="227">
        <f>'[4]B37'!H31</f>
        <v>0</v>
      </c>
      <c r="I31" s="227">
        <f>'[4]B37'!I31</f>
        <v>0</v>
      </c>
      <c r="J31" s="227">
        <f>'[4]B37'!J31</f>
        <v>0</v>
      </c>
      <c r="K31" s="227">
        <f>'[4]B37'!K31</f>
        <v>0</v>
      </c>
      <c r="L31" s="227">
        <f>'[4]B37'!L31</f>
        <v>0</v>
      </c>
      <c r="M31" s="227">
        <f>'[4]B37'!M31</f>
        <v>0</v>
      </c>
      <c r="N31" s="227">
        <f>'[4]B37'!N31</f>
        <v>0</v>
      </c>
      <c r="O31" s="227">
        <f>'[4]B37'!O31</f>
        <v>0</v>
      </c>
      <c r="P31" s="227">
        <f>'[4]B37'!P31+11+45</f>
        <v>2434</v>
      </c>
      <c r="Q31" s="227">
        <f>'[4]B37'!Q31</f>
        <v>0</v>
      </c>
      <c r="R31" s="227">
        <f>'[4]B37'!R31</f>
        <v>0</v>
      </c>
    </row>
    <row r="32" spans="1:18" ht="12.75">
      <c r="A32" s="278">
        <v>25</v>
      </c>
      <c r="B32" s="279" t="s">
        <v>231</v>
      </c>
      <c r="C32" s="227">
        <f t="shared" si="1"/>
        <v>1313</v>
      </c>
      <c r="D32" s="227">
        <f>'[4]B37'!D32</f>
        <v>0</v>
      </c>
      <c r="E32" s="227"/>
      <c r="F32" s="227">
        <f>'[4]B37'!F32</f>
        <v>0</v>
      </c>
      <c r="G32" s="227">
        <f>'[4]B37'!G32</f>
        <v>0</v>
      </c>
      <c r="H32" s="227">
        <f>'[4]B37'!H32</f>
        <v>0</v>
      </c>
      <c r="I32" s="227">
        <f>'[4]B37'!I32</f>
        <v>0</v>
      </c>
      <c r="J32" s="227">
        <f>'[4]B37'!J32</f>
        <v>0</v>
      </c>
      <c r="K32" s="227">
        <f>'[4]B37'!K32</f>
        <v>0</v>
      </c>
      <c r="L32" s="227">
        <f>'[4]B37'!L32</f>
        <v>0</v>
      </c>
      <c r="M32" s="227">
        <f>'[4]B37'!M32</f>
        <v>0</v>
      </c>
      <c r="N32" s="227">
        <f>'[4]B37'!N32</f>
        <v>0</v>
      </c>
      <c r="O32" s="227">
        <f>'[4]B37'!O32</f>
        <v>0</v>
      </c>
      <c r="P32" s="227">
        <f>'[4]B37'!P32+7+19</f>
        <v>1313</v>
      </c>
      <c r="Q32" s="227">
        <f>'[4]B37'!Q32</f>
        <v>0</v>
      </c>
      <c r="R32" s="227">
        <f>'[4]B37'!R32</f>
        <v>0</v>
      </c>
    </row>
    <row r="33" spans="1:18" ht="12.75">
      <c r="A33" s="278">
        <v>26</v>
      </c>
      <c r="B33" s="279" t="s">
        <v>232</v>
      </c>
      <c r="C33" s="227">
        <f t="shared" si="1"/>
        <v>994</v>
      </c>
      <c r="D33" s="227">
        <f>'[4]B37'!D33</f>
        <v>0</v>
      </c>
      <c r="E33" s="227"/>
      <c r="F33" s="227">
        <f>'[4]B37'!F33</f>
        <v>0</v>
      </c>
      <c r="G33" s="227">
        <f>'[4]B37'!G33</f>
        <v>0</v>
      </c>
      <c r="H33" s="227">
        <f>'[4]B37'!H33</f>
        <v>0</v>
      </c>
      <c r="I33" s="227">
        <f>'[4]B37'!I33</f>
        <v>0</v>
      </c>
      <c r="J33" s="227">
        <f>'[4]B37'!J33</f>
        <v>0</v>
      </c>
      <c r="K33" s="227">
        <f>'[4]B37'!K33</f>
        <v>0</v>
      </c>
      <c r="L33" s="227">
        <f>'[4]B37'!L33</f>
        <v>0</v>
      </c>
      <c r="M33" s="227">
        <f>'[4]B37'!M33</f>
        <v>0</v>
      </c>
      <c r="N33" s="227">
        <f>'[4]B37'!N33</f>
        <v>0</v>
      </c>
      <c r="O33" s="227">
        <f>'[4]B37'!O33</f>
        <v>0</v>
      </c>
      <c r="P33" s="227">
        <f>'[4]B37'!P33+8-277</f>
        <v>994</v>
      </c>
      <c r="Q33" s="227">
        <f>'[4]B37'!Q33</f>
        <v>0</v>
      </c>
      <c r="R33" s="227">
        <f>'[4]B37'!R33</f>
        <v>0</v>
      </c>
    </row>
    <row r="34" spans="1:18" ht="12.75">
      <c r="A34" s="278">
        <v>27</v>
      </c>
      <c r="B34" s="279" t="s">
        <v>267</v>
      </c>
      <c r="C34" s="227">
        <f t="shared" si="1"/>
        <v>8747</v>
      </c>
      <c r="D34" s="227">
        <f>8746+1</f>
        <v>8747</v>
      </c>
      <c r="E34" s="227"/>
      <c r="F34" s="227">
        <f>'[4]B37'!F34</f>
        <v>0</v>
      </c>
      <c r="G34" s="227">
        <f>'[4]B37'!G34</f>
        <v>0</v>
      </c>
      <c r="H34" s="227">
        <f>'[4]B37'!H34</f>
        <v>0</v>
      </c>
      <c r="I34" s="227">
        <f>'[4]B37'!I34</f>
        <v>0</v>
      </c>
      <c r="J34" s="227">
        <f>'[4]B37'!J34</f>
        <v>0</v>
      </c>
      <c r="K34" s="227">
        <f>'[4]B37'!K34</f>
        <v>0</v>
      </c>
      <c r="L34" s="227">
        <f>'[4]B37'!L34</f>
        <v>0</v>
      </c>
      <c r="M34" s="227">
        <f>'[4]B37'!M34</f>
        <v>0</v>
      </c>
      <c r="N34" s="227">
        <f>'[4]B37'!N34</f>
        <v>0</v>
      </c>
      <c r="O34" s="227">
        <f>'[4]B37'!O34</f>
        <v>0</v>
      </c>
      <c r="P34" s="227">
        <f>'[4]B37'!P34</f>
        <v>0</v>
      </c>
      <c r="Q34" s="227">
        <f>'[4]B37'!Q34</f>
        <v>0</v>
      </c>
      <c r="R34" s="227">
        <f>'[4]B37'!R34</f>
        <v>0</v>
      </c>
    </row>
    <row r="35" spans="1:18" ht="12.75">
      <c r="A35" s="278">
        <v>28</v>
      </c>
      <c r="B35" s="279" t="s">
        <v>268</v>
      </c>
      <c r="C35" s="227">
        <f t="shared" si="1"/>
        <v>9424</v>
      </c>
      <c r="D35" s="227">
        <f>9305+119</f>
        <v>9424</v>
      </c>
      <c r="E35" s="227"/>
      <c r="F35" s="227">
        <f>'[4]B37'!F35</f>
        <v>0</v>
      </c>
      <c r="G35" s="227">
        <f>'[4]B37'!G35</f>
        <v>0</v>
      </c>
      <c r="H35" s="227">
        <f>'[4]B37'!H35</f>
        <v>0</v>
      </c>
      <c r="I35" s="227">
        <f>'[4]B37'!I35</f>
        <v>0</v>
      </c>
      <c r="J35" s="227">
        <f>'[4]B37'!J35</f>
        <v>0</v>
      </c>
      <c r="K35" s="227">
        <f>'[4]B37'!K35</f>
        <v>0</v>
      </c>
      <c r="L35" s="227">
        <f>'[4]B37'!L35</f>
        <v>0</v>
      </c>
      <c r="M35" s="227">
        <f>'[4]B37'!M35</f>
        <v>0</v>
      </c>
      <c r="N35" s="227">
        <f>'[4]B37'!N35</f>
        <v>0</v>
      </c>
      <c r="O35" s="227">
        <f>'[4]B37'!O35</f>
        <v>0</v>
      </c>
      <c r="P35" s="227">
        <f>'[4]B37'!P35</f>
        <v>0</v>
      </c>
      <c r="Q35" s="227">
        <f>'[4]B37'!Q35</f>
        <v>0</v>
      </c>
      <c r="R35" s="227">
        <f>'[4]B37'!R35</f>
        <v>0</v>
      </c>
    </row>
    <row r="36" spans="1:18" ht="12.75">
      <c r="A36" s="341">
        <v>29</v>
      </c>
      <c r="B36" s="280" t="s">
        <v>269</v>
      </c>
      <c r="C36" s="281">
        <f t="shared" si="1"/>
        <v>6040</v>
      </c>
      <c r="D36" s="281">
        <f>5990+48+2</f>
        <v>6040</v>
      </c>
      <c r="E36" s="281"/>
      <c r="F36" s="281">
        <f>'[4]B37'!F36</f>
        <v>0</v>
      </c>
      <c r="G36" s="281">
        <f>'[4]B37'!G36</f>
        <v>0</v>
      </c>
      <c r="H36" s="281">
        <f>'[4]B37'!H36</f>
        <v>0</v>
      </c>
      <c r="I36" s="281">
        <f>'[4]B37'!I36</f>
        <v>0</v>
      </c>
      <c r="J36" s="281">
        <f>'[4]B37'!J36</f>
        <v>0</v>
      </c>
      <c r="K36" s="281">
        <f>'[4]B37'!K36</f>
        <v>0</v>
      </c>
      <c r="L36" s="281">
        <f>'[4]B37'!L36</f>
        <v>0</v>
      </c>
      <c r="M36" s="281">
        <f>'[4]B37'!M36</f>
        <v>0</v>
      </c>
      <c r="N36" s="281">
        <f>'[4]B37'!N36</f>
        <v>0</v>
      </c>
      <c r="O36" s="281">
        <f>'[4]B37'!O36</f>
        <v>0</v>
      </c>
      <c r="P36" s="281">
        <f>'[4]B37'!P36</f>
        <v>0</v>
      </c>
      <c r="Q36" s="281">
        <f>'[4]B37'!Q36</f>
        <v>0</v>
      </c>
      <c r="R36" s="281">
        <f>'[4]B37'!R36</f>
        <v>0</v>
      </c>
    </row>
    <row r="37" spans="1:18" ht="12.75">
      <c r="A37" s="278">
        <v>30</v>
      </c>
      <c r="B37" s="279" t="s">
        <v>270</v>
      </c>
      <c r="C37" s="227">
        <f t="shared" si="1"/>
        <v>8155</v>
      </c>
      <c r="D37" s="227">
        <f>8081+71+3</f>
        <v>8155</v>
      </c>
      <c r="E37" s="227"/>
      <c r="F37" s="227">
        <f>'[4]B37'!F37</f>
        <v>0</v>
      </c>
      <c r="G37" s="227">
        <f>'[4]B37'!G37</f>
        <v>0</v>
      </c>
      <c r="H37" s="227">
        <f>'[4]B37'!H37</f>
        <v>0</v>
      </c>
      <c r="I37" s="227">
        <f>'[4]B37'!I37</f>
        <v>0</v>
      </c>
      <c r="J37" s="227">
        <f>'[4]B37'!J37</f>
        <v>0</v>
      </c>
      <c r="K37" s="227">
        <f>'[4]B37'!K37</f>
        <v>0</v>
      </c>
      <c r="L37" s="227">
        <f>'[4]B37'!L37</f>
        <v>0</v>
      </c>
      <c r="M37" s="227">
        <f>'[4]B37'!M37</f>
        <v>0</v>
      </c>
      <c r="N37" s="227">
        <f>'[4]B37'!N37</f>
        <v>0</v>
      </c>
      <c r="O37" s="227">
        <f>'[4]B37'!O37</f>
        <v>0</v>
      </c>
      <c r="P37" s="227">
        <f>'[4]B37'!P37</f>
        <v>0</v>
      </c>
      <c r="Q37" s="227">
        <f>'[4]B37'!Q37</f>
        <v>0</v>
      </c>
      <c r="R37" s="227">
        <f>'[4]B37'!R37</f>
        <v>0</v>
      </c>
    </row>
    <row r="38" spans="1:18" ht="12.75">
      <c r="A38" s="278">
        <v>31</v>
      </c>
      <c r="B38" s="279" t="s">
        <v>271</v>
      </c>
      <c r="C38" s="227">
        <f t="shared" si="1"/>
        <v>8013</v>
      </c>
      <c r="D38" s="227">
        <f>8009+4</f>
        <v>8013</v>
      </c>
      <c r="E38" s="227"/>
      <c r="F38" s="227">
        <f>'[4]B37'!F38</f>
        <v>0</v>
      </c>
      <c r="G38" s="227">
        <f>'[4]B37'!G38</f>
        <v>0</v>
      </c>
      <c r="H38" s="227">
        <f>'[4]B37'!H38</f>
        <v>0</v>
      </c>
      <c r="I38" s="227">
        <f>'[4]B37'!I38</f>
        <v>0</v>
      </c>
      <c r="J38" s="227">
        <f>'[4]B37'!J38</f>
        <v>0</v>
      </c>
      <c r="K38" s="227">
        <f>'[4]B37'!K38</f>
        <v>0</v>
      </c>
      <c r="L38" s="227">
        <f>'[4]B37'!L38</f>
        <v>0</v>
      </c>
      <c r="M38" s="227">
        <f>'[4]B37'!M38</f>
        <v>0</v>
      </c>
      <c r="N38" s="227">
        <f>'[4]B37'!N38</f>
        <v>0</v>
      </c>
      <c r="O38" s="227">
        <f>'[4]B37'!O38</f>
        <v>0</v>
      </c>
      <c r="P38" s="227">
        <f>'[4]B37'!P38</f>
        <v>0</v>
      </c>
      <c r="Q38" s="227">
        <f>'[4]B37'!Q38</f>
        <v>0</v>
      </c>
      <c r="R38" s="227">
        <f>'[4]B37'!R38</f>
        <v>0</v>
      </c>
    </row>
    <row r="39" spans="1:18" ht="12.75">
      <c r="A39" s="278">
        <v>32</v>
      </c>
      <c r="B39" s="279" t="s">
        <v>272</v>
      </c>
      <c r="C39" s="227">
        <f t="shared" si="1"/>
        <v>11600</v>
      </c>
      <c r="D39" s="227">
        <v>11600</v>
      </c>
      <c r="E39" s="227"/>
      <c r="F39" s="227">
        <f>'[4]B37'!F39</f>
        <v>0</v>
      </c>
      <c r="G39" s="227">
        <f>'[4]B37'!G39</f>
        <v>0</v>
      </c>
      <c r="H39" s="227">
        <f>'[4]B37'!H39</f>
        <v>0</v>
      </c>
      <c r="I39" s="227">
        <f>'[4]B37'!I39</f>
        <v>0</v>
      </c>
      <c r="J39" s="227">
        <f>'[4]B37'!J39</f>
        <v>0</v>
      </c>
      <c r="K39" s="227">
        <f>'[4]B37'!K39</f>
        <v>0</v>
      </c>
      <c r="L39" s="227">
        <f>'[4]B37'!L39</f>
        <v>0</v>
      </c>
      <c r="M39" s="227">
        <f>'[4]B37'!M39</f>
        <v>0</v>
      </c>
      <c r="N39" s="227">
        <f>'[4]B37'!N39</f>
        <v>0</v>
      </c>
      <c r="O39" s="227">
        <f>'[4]B37'!O39</f>
        <v>0</v>
      </c>
      <c r="P39" s="227">
        <f>'[4]B37'!P39</f>
        <v>0</v>
      </c>
      <c r="Q39" s="227">
        <f>'[4]B37'!Q39</f>
        <v>0</v>
      </c>
      <c r="R39" s="227">
        <f>'[4]B37'!R39</f>
        <v>0</v>
      </c>
    </row>
    <row r="40" spans="1:18" ht="12.75">
      <c r="A40" s="278">
        <v>33</v>
      </c>
      <c r="B40" s="279" t="s">
        <v>273</v>
      </c>
      <c r="C40" s="227">
        <f t="shared" si="1"/>
        <v>11144</v>
      </c>
      <c r="D40" s="227">
        <f>11135+8+1</f>
        <v>11144</v>
      </c>
      <c r="E40" s="227"/>
      <c r="F40" s="227">
        <f>'[4]B37'!F40</f>
        <v>0</v>
      </c>
      <c r="G40" s="227">
        <f>'[4]B37'!G40</f>
        <v>0</v>
      </c>
      <c r="H40" s="227">
        <f>'[4]B37'!H40</f>
        <v>0</v>
      </c>
      <c r="I40" s="227">
        <f>'[4]B37'!I40</f>
        <v>0</v>
      </c>
      <c r="J40" s="227">
        <f>'[4]B37'!J40</f>
        <v>0</v>
      </c>
      <c r="K40" s="227">
        <f>'[4]B37'!K40</f>
        <v>0</v>
      </c>
      <c r="L40" s="227">
        <f>'[4]B37'!L40</f>
        <v>0</v>
      </c>
      <c r="M40" s="227">
        <f>'[4]B37'!M40</f>
        <v>0</v>
      </c>
      <c r="N40" s="227">
        <f>'[4]B37'!N40</f>
        <v>0</v>
      </c>
      <c r="O40" s="227">
        <f>'[4]B37'!O40</f>
        <v>0</v>
      </c>
      <c r="P40" s="227">
        <f>'[4]B37'!P40</f>
        <v>0</v>
      </c>
      <c r="Q40" s="227">
        <f>'[4]B37'!Q40</f>
        <v>0</v>
      </c>
      <c r="R40" s="227">
        <f>'[4]B37'!R40</f>
        <v>0</v>
      </c>
    </row>
    <row r="41" spans="1:18" ht="12.75">
      <c r="A41" s="278">
        <v>34</v>
      </c>
      <c r="B41" s="279" t="s">
        <v>274</v>
      </c>
      <c r="C41" s="227">
        <f t="shared" si="1"/>
        <v>7849</v>
      </c>
      <c r="D41" s="227">
        <f>7737+105+5+2</f>
        <v>7849</v>
      </c>
      <c r="E41" s="227"/>
      <c r="F41" s="227">
        <f>'[4]B37'!F41</f>
        <v>0</v>
      </c>
      <c r="G41" s="227">
        <f>'[4]B37'!G41</f>
        <v>0</v>
      </c>
      <c r="H41" s="227">
        <f>'[4]B37'!H41</f>
        <v>0</v>
      </c>
      <c r="I41" s="227">
        <f>'[4]B37'!I41</f>
        <v>0</v>
      </c>
      <c r="J41" s="227">
        <f>'[4]B37'!J41</f>
        <v>0</v>
      </c>
      <c r="K41" s="227">
        <f>'[4]B37'!K41</f>
        <v>0</v>
      </c>
      <c r="L41" s="227">
        <f>'[4]B37'!L41</f>
        <v>0</v>
      </c>
      <c r="M41" s="227">
        <f>'[4]B37'!M41</f>
        <v>0</v>
      </c>
      <c r="N41" s="227">
        <f>'[4]B37'!N41</f>
        <v>0</v>
      </c>
      <c r="O41" s="227">
        <f>'[4]B37'!O41</f>
        <v>0</v>
      </c>
      <c r="P41" s="227">
        <f>'[4]B37'!P41</f>
        <v>0</v>
      </c>
      <c r="Q41" s="227">
        <f>'[4]B37'!Q41</f>
        <v>0</v>
      </c>
      <c r="R41" s="227">
        <f>'[4]B37'!R41</f>
        <v>0</v>
      </c>
    </row>
    <row r="42" spans="1:18" ht="12.75">
      <c r="A42" s="278">
        <v>35</v>
      </c>
      <c r="B42" s="279" t="s">
        <v>275</v>
      </c>
      <c r="C42" s="227">
        <f t="shared" si="1"/>
        <v>5533</v>
      </c>
      <c r="D42" s="227">
        <v>5533</v>
      </c>
      <c r="E42" s="227"/>
      <c r="F42" s="227">
        <f>'[4]B37'!F42</f>
        <v>0</v>
      </c>
      <c r="G42" s="227">
        <f>'[4]B37'!G42</f>
        <v>0</v>
      </c>
      <c r="H42" s="227">
        <f>'[4]B37'!H42</f>
        <v>0</v>
      </c>
      <c r="I42" s="227">
        <f>'[4]B37'!I42</f>
        <v>0</v>
      </c>
      <c r="J42" s="227">
        <f>'[4]B37'!J42</f>
        <v>0</v>
      </c>
      <c r="K42" s="227">
        <f>'[4]B37'!K42</f>
        <v>0</v>
      </c>
      <c r="L42" s="227">
        <f>'[4]B37'!L42</f>
        <v>0</v>
      </c>
      <c r="M42" s="227">
        <f>'[4]B37'!M42</f>
        <v>0</v>
      </c>
      <c r="N42" s="227">
        <f>'[4]B37'!N42</f>
        <v>0</v>
      </c>
      <c r="O42" s="227">
        <f>'[4]B37'!O42</f>
        <v>0</v>
      </c>
      <c r="P42" s="227">
        <f>'[4]B37'!P42</f>
        <v>0</v>
      </c>
      <c r="Q42" s="227">
        <f>'[4]B37'!Q42</f>
        <v>0</v>
      </c>
      <c r="R42" s="227">
        <f>'[4]B37'!R42</f>
        <v>0</v>
      </c>
    </row>
    <row r="43" spans="1:18" ht="12.75">
      <c r="A43" s="278">
        <v>36</v>
      </c>
      <c r="B43" s="279" t="s">
        <v>276</v>
      </c>
      <c r="C43" s="227">
        <f t="shared" si="1"/>
        <v>7815</v>
      </c>
      <c r="D43" s="227">
        <f>7814+1</f>
        <v>7815</v>
      </c>
      <c r="E43" s="227"/>
      <c r="F43" s="227">
        <f>'[4]B37'!F43</f>
        <v>0</v>
      </c>
      <c r="G43" s="227">
        <f>'[4]B37'!G43</f>
        <v>0</v>
      </c>
      <c r="H43" s="227">
        <f>'[4]B37'!H43</f>
        <v>0</v>
      </c>
      <c r="I43" s="227">
        <f>'[4]B37'!I43</f>
        <v>0</v>
      </c>
      <c r="J43" s="227">
        <f>'[4]B37'!J43</f>
        <v>0</v>
      </c>
      <c r="K43" s="227">
        <f>'[4]B37'!K43</f>
        <v>0</v>
      </c>
      <c r="L43" s="227">
        <f>'[4]B37'!L43</f>
        <v>0</v>
      </c>
      <c r="M43" s="227">
        <f>'[4]B37'!M43</f>
        <v>0</v>
      </c>
      <c r="N43" s="227">
        <f>'[4]B37'!N43</f>
        <v>0</v>
      </c>
      <c r="O43" s="227">
        <f>'[4]B37'!O43</f>
        <v>0</v>
      </c>
      <c r="P43" s="227">
        <f>'[4]B37'!P43</f>
        <v>0</v>
      </c>
      <c r="Q43" s="227">
        <f>'[4]B37'!Q43</f>
        <v>0</v>
      </c>
      <c r="R43" s="227">
        <f>'[4]B37'!R43</f>
        <v>0</v>
      </c>
    </row>
    <row r="44" spans="1:18" ht="12.75">
      <c r="A44" s="278">
        <v>37</v>
      </c>
      <c r="B44" s="279" t="s">
        <v>277</v>
      </c>
      <c r="C44" s="227">
        <f t="shared" si="1"/>
        <v>5948</v>
      </c>
      <c r="D44" s="227">
        <f>5894+32+3+19</f>
        <v>5948</v>
      </c>
      <c r="E44" s="227"/>
      <c r="F44" s="227">
        <f>'[4]B37'!F44</f>
        <v>0</v>
      </c>
      <c r="G44" s="227">
        <f>'[4]B37'!G44</f>
        <v>0</v>
      </c>
      <c r="H44" s="227">
        <f>'[4]B37'!H44</f>
        <v>0</v>
      </c>
      <c r="I44" s="227">
        <f>'[4]B37'!I44</f>
        <v>0</v>
      </c>
      <c r="J44" s="227">
        <f>'[4]B37'!J44</f>
        <v>0</v>
      </c>
      <c r="K44" s="227">
        <f>'[4]B37'!K44</f>
        <v>0</v>
      </c>
      <c r="L44" s="227">
        <f>'[4]B37'!L44</f>
        <v>0</v>
      </c>
      <c r="M44" s="227">
        <f>'[4]B37'!M44</f>
        <v>0</v>
      </c>
      <c r="N44" s="227">
        <f>'[4]B37'!N44</f>
        <v>0</v>
      </c>
      <c r="O44" s="227">
        <f>'[4]B37'!O44</f>
        <v>0</v>
      </c>
      <c r="P44" s="227">
        <f>'[4]B37'!P44</f>
        <v>0</v>
      </c>
      <c r="Q44" s="227">
        <f>'[4]B37'!Q44</f>
        <v>0</v>
      </c>
      <c r="R44" s="227">
        <f>'[4]B37'!R44</f>
        <v>0</v>
      </c>
    </row>
    <row r="45" spans="1:18" ht="12.75">
      <c r="A45" s="278">
        <v>38</v>
      </c>
      <c r="B45" s="279" t="s">
        <v>278</v>
      </c>
      <c r="C45" s="227">
        <f t="shared" si="1"/>
        <v>4933</v>
      </c>
      <c r="D45" s="227">
        <f>4927+6</f>
        <v>4933</v>
      </c>
      <c r="E45" s="227"/>
      <c r="F45" s="227">
        <f>'[4]B37'!F45</f>
        <v>0</v>
      </c>
      <c r="G45" s="227">
        <f>'[4]B37'!G45</f>
        <v>0</v>
      </c>
      <c r="H45" s="227">
        <f>'[4]B37'!H45</f>
        <v>0</v>
      </c>
      <c r="I45" s="227">
        <f>'[4]B37'!I45</f>
        <v>0</v>
      </c>
      <c r="J45" s="227">
        <f>'[4]B37'!J45</f>
        <v>0</v>
      </c>
      <c r="K45" s="227">
        <f>'[4]B37'!K45</f>
        <v>0</v>
      </c>
      <c r="L45" s="227">
        <f>'[4]B37'!L45</f>
        <v>0</v>
      </c>
      <c r="M45" s="227">
        <f>'[4]B37'!M45</f>
        <v>0</v>
      </c>
      <c r="N45" s="227">
        <f>'[4]B37'!N45</f>
        <v>0</v>
      </c>
      <c r="O45" s="227">
        <f>'[4]B37'!O45</f>
        <v>0</v>
      </c>
      <c r="P45" s="227">
        <f>'[4]B37'!P45</f>
        <v>0</v>
      </c>
      <c r="Q45" s="227">
        <f>'[4]B37'!Q45</f>
        <v>0</v>
      </c>
      <c r="R45" s="227">
        <f>'[4]B37'!R45</f>
        <v>0</v>
      </c>
    </row>
    <row r="46" spans="1:18" ht="12.75">
      <c r="A46" s="278">
        <v>39</v>
      </c>
      <c r="B46" s="279" t="s">
        <v>279</v>
      </c>
      <c r="C46" s="227">
        <f t="shared" si="1"/>
        <v>6236</v>
      </c>
      <c r="D46" s="227">
        <f>5979+9+1+243+1+(1+1+1)</f>
        <v>6236</v>
      </c>
      <c r="E46" s="227"/>
      <c r="F46" s="227">
        <f>'[4]B37'!F46</f>
        <v>0</v>
      </c>
      <c r="G46" s="227">
        <f>'[4]B37'!G46</f>
        <v>0</v>
      </c>
      <c r="H46" s="227">
        <f>'[4]B37'!H46</f>
        <v>0</v>
      </c>
      <c r="I46" s="227">
        <f>'[4]B37'!I46</f>
        <v>0</v>
      </c>
      <c r="J46" s="227">
        <f>'[4]B37'!J46</f>
        <v>0</v>
      </c>
      <c r="K46" s="227">
        <f>'[4]B37'!K46</f>
        <v>0</v>
      </c>
      <c r="L46" s="227">
        <f>'[4]B37'!L46</f>
        <v>0</v>
      </c>
      <c r="M46" s="227">
        <f>'[4]B37'!M46</f>
        <v>0</v>
      </c>
      <c r="N46" s="227">
        <f>'[4]B37'!N46</f>
        <v>0</v>
      </c>
      <c r="O46" s="227">
        <f>'[4]B37'!O46</f>
        <v>0</v>
      </c>
      <c r="P46" s="227">
        <f>'[4]B37'!P46</f>
        <v>0</v>
      </c>
      <c r="Q46" s="227">
        <f>'[4]B37'!Q46</f>
        <v>0</v>
      </c>
      <c r="R46" s="227">
        <f>'[4]B37'!R46</f>
        <v>0</v>
      </c>
    </row>
    <row r="47" spans="1:18" ht="12.75">
      <c r="A47" s="278">
        <v>40</v>
      </c>
      <c r="B47" s="279" t="s">
        <v>280</v>
      </c>
      <c r="C47" s="227">
        <f t="shared" si="1"/>
        <v>6572</v>
      </c>
      <c r="D47" s="227">
        <f>6521+50+1</f>
        <v>6572</v>
      </c>
      <c r="E47" s="227"/>
      <c r="F47" s="227">
        <f>'[4]B37'!F47</f>
        <v>0</v>
      </c>
      <c r="G47" s="227">
        <f>'[4]B37'!G47</f>
        <v>0</v>
      </c>
      <c r="H47" s="227">
        <f>'[4]B37'!H47</f>
        <v>0</v>
      </c>
      <c r="I47" s="227">
        <f>'[4]B37'!I47</f>
        <v>0</v>
      </c>
      <c r="J47" s="227">
        <f>'[4]B37'!J47</f>
        <v>0</v>
      </c>
      <c r="K47" s="227">
        <f>'[4]B37'!K47</f>
        <v>0</v>
      </c>
      <c r="L47" s="227">
        <f>'[4]B37'!L47</f>
        <v>0</v>
      </c>
      <c r="M47" s="227">
        <f>'[4]B37'!M47</f>
        <v>0</v>
      </c>
      <c r="N47" s="227">
        <f>'[4]B37'!N47</f>
        <v>0</v>
      </c>
      <c r="O47" s="227">
        <f>'[4]B37'!O47</f>
        <v>0</v>
      </c>
      <c r="P47" s="227">
        <f>'[4]B37'!P47</f>
        <v>0</v>
      </c>
      <c r="Q47" s="227">
        <f>'[4]B37'!Q47</f>
        <v>0</v>
      </c>
      <c r="R47" s="227">
        <f>'[4]B37'!R47</f>
        <v>0</v>
      </c>
    </row>
    <row r="48" spans="1:18" ht="12.75">
      <c r="A48" s="278">
        <v>41</v>
      </c>
      <c r="B48" s="279" t="s">
        <v>281</v>
      </c>
      <c r="C48" s="227">
        <f t="shared" si="1"/>
        <v>5922</v>
      </c>
      <c r="D48" s="227">
        <f>5917+5</f>
        <v>5922</v>
      </c>
      <c r="E48" s="227"/>
      <c r="F48" s="227">
        <f>'[4]B37'!F48</f>
        <v>0</v>
      </c>
      <c r="G48" s="227">
        <f>'[4]B37'!G48</f>
        <v>0</v>
      </c>
      <c r="H48" s="227">
        <f>'[4]B37'!H48</f>
        <v>0</v>
      </c>
      <c r="I48" s="227">
        <f>'[4]B37'!I48</f>
        <v>0</v>
      </c>
      <c r="J48" s="227">
        <f>'[4]B37'!J48</f>
        <v>0</v>
      </c>
      <c r="K48" s="227">
        <f>'[4]B37'!K48</f>
        <v>0</v>
      </c>
      <c r="L48" s="227">
        <f>'[4]B37'!L48</f>
        <v>0</v>
      </c>
      <c r="M48" s="227">
        <f>'[4]B37'!M48</f>
        <v>0</v>
      </c>
      <c r="N48" s="227">
        <f>'[4]B37'!N48</f>
        <v>0</v>
      </c>
      <c r="O48" s="227">
        <f>'[4]B37'!O48</f>
        <v>0</v>
      </c>
      <c r="P48" s="227">
        <f>'[4]B37'!P48</f>
        <v>0</v>
      </c>
      <c r="Q48" s="227">
        <f>'[4]B37'!Q48</f>
        <v>0</v>
      </c>
      <c r="R48" s="227">
        <f>'[4]B37'!R48</f>
        <v>0</v>
      </c>
    </row>
    <row r="49" spans="1:18" ht="12.75">
      <c r="A49" s="278">
        <v>42</v>
      </c>
      <c r="B49" s="279" t="s">
        <v>282</v>
      </c>
      <c r="C49" s="227">
        <f t="shared" si="1"/>
        <v>5458</v>
      </c>
      <c r="D49" s="227">
        <f>5446+12</f>
        <v>5458</v>
      </c>
      <c r="E49" s="227"/>
      <c r="F49" s="227">
        <f>'[4]B37'!F49</f>
        <v>0</v>
      </c>
      <c r="G49" s="227">
        <f>'[4]B37'!G49</f>
        <v>0</v>
      </c>
      <c r="H49" s="227">
        <f>'[4]B37'!H49</f>
        <v>0</v>
      </c>
      <c r="I49" s="227">
        <f>'[4]B37'!I49</f>
        <v>0</v>
      </c>
      <c r="J49" s="227">
        <f>'[4]B37'!J49</f>
        <v>0</v>
      </c>
      <c r="K49" s="227">
        <f>'[4]B37'!K49</f>
        <v>0</v>
      </c>
      <c r="L49" s="227">
        <f>'[4]B37'!L49</f>
        <v>0</v>
      </c>
      <c r="M49" s="227">
        <f>'[4]B37'!M49</f>
        <v>0</v>
      </c>
      <c r="N49" s="227">
        <f>'[4]B37'!N49</f>
        <v>0</v>
      </c>
      <c r="O49" s="227">
        <f>'[4]B37'!O49</f>
        <v>0</v>
      </c>
      <c r="P49" s="227">
        <f>'[4]B37'!P49</f>
        <v>0</v>
      </c>
      <c r="Q49" s="227">
        <f>'[4]B37'!Q49</f>
        <v>0</v>
      </c>
      <c r="R49" s="227">
        <f>'[4]B37'!R49</f>
        <v>0</v>
      </c>
    </row>
    <row r="50" spans="1:18" ht="12.75">
      <c r="A50" s="278">
        <v>43</v>
      </c>
      <c r="B50" s="279" t="s">
        <v>297</v>
      </c>
      <c r="C50" s="227">
        <f t="shared" si="1"/>
        <v>5470</v>
      </c>
      <c r="D50" s="227">
        <f>5465+5</f>
        <v>5470</v>
      </c>
      <c r="E50" s="227"/>
      <c r="F50" s="227">
        <f>'[4]B37'!F50</f>
        <v>0</v>
      </c>
      <c r="G50" s="227">
        <f>'[4]B37'!G50</f>
        <v>0</v>
      </c>
      <c r="H50" s="227">
        <f>'[4]B37'!H50</f>
        <v>0</v>
      </c>
      <c r="I50" s="227">
        <f>'[4]B37'!I50</f>
        <v>0</v>
      </c>
      <c r="J50" s="227">
        <f>'[4]B37'!J50</f>
        <v>0</v>
      </c>
      <c r="K50" s="227">
        <f>'[4]B37'!K50</f>
        <v>0</v>
      </c>
      <c r="L50" s="227">
        <f>'[4]B37'!L50</f>
        <v>0</v>
      </c>
      <c r="M50" s="227">
        <f>'[4]B37'!M50</f>
        <v>0</v>
      </c>
      <c r="N50" s="227">
        <f>'[4]B37'!N50</f>
        <v>0</v>
      </c>
      <c r="O50" s="227">
        <f>'[4]B37'!O50</f>
        <v>0</v>
      </c>
      <c r="P50" s="227">
        <f>'[4]B37'!P50</f>
        <v>0</v>
      </c>
      <c r="Q50" s="227">
        <f>'[4]B37'!Q50</f>
        <v>0</v>
      </c>
      <c r="R50" s="227">
        <f>'[4]B37'!R50</f>
        <v>0</v>
      </c>
    </row>
    <row r="51" spans="1:18" ht="12.75">
      <c r="A51" s="278">
        <v>44</v>
      </c>
      <c r="B51" s="279" t="s">
        <v>283</v>
      </c>
      <c r="C51" s="227">
        <f t="shared" si="1"/>
        <v>7374</v>
      </c>
      <c r="D51" s="227">
        <f>7373+1</f>
        <v>7374</v>
      </c>
      <c r="E51" s="227"/>
      <c r="F51" s="227">
        <f>'[4]B37'!F51</f>
        <v>0</v>
      </c>
      <c r="G51" s="227">
        <f>'[4]B37'!G51</f>
        <v>0</v>
      </c>
      <c r="H51" s="227">
        <f>'[4]B37'!H51</f>
        <v>0</v>
      </c>
      <c r="I51" s="227">
        <f>'[4]B37'!I51</f>
        <v>0</v>
      </c>
      <c r="J51" s="227">
        <f>'[4]B37'!J51</f>
        <v>0</v>
      </c>
      <c r="K51" s="227">
        <f>'[4]B37'!K51</f>
        <v>0</v>
      </c>
      <c r="L51" s="227">
        <f>'[4]B37'!L51</f>
        <v>0</v>
      </c>
      <c r="M51" s="227">
        <f>'[4]B37'!M51</f>
        <v>0</v>
      </c>
      <c r="N51" s="227">
        <f>'[4]B37'!N51</f>
        <v>0</v>
      </c>
      <c r="O51" s="227">
        <f>'[4]B37'!O51</f>
        <v>0</v>
      </c>
      <c r="P51" s="227">
        <f>'[4]B37'!P51</f>
        <v>0</v>
      </c>
      <c r="Q51" s="227">
        <f>'[4]B37'!Q51</f>
        <v>0</v>
      </c>
      <c r="R51" s="227">
        <f>'[4]B37'!R51</f>
        <v>0</v>
      </c>
    </row>
    <row r="52" spans="1:18" ht="12.75">
      <c r="A52" s="278">
        <v>45</v>
      </c>
      <c r="B52" s="279" t="s">
        <v>405</v>
      </c>
      <c r="C52" s="227">
        <f t="shared" si="1"/>
        <v>5921</v>
      </c>
      <c r="D52" s="227">
        <f>5867+10+10+(6+6+7+15)</f>
        <v>5921</v>
      </c>
      <c r="E52" s="227"/>
      <c r="F52" s="227">
        <f>'[4]B37'!F52</f>
        <v>0</v>
      </c>
      <c r="G52" s="227">
        <f>'[4]B37'!G52</f>
        <v>0</v>
      </c>
      <c r="H52" s="227">
        <f>'[4]B37'!H52</f>
        <v>0</v>
      </c>
      <c r="I52" s="227">
        <f>'[4]B37'!I52</f>
        <v>0</v>
      </c>
      <c r="J52" s="227">
        <f>'[4]B37'!J52</f>
        <v>0</v>
      </c>
      <c r="K52" s="227">
        <f>'[4]B37'!K52</f>
        <v>0</v>
      </c>
      <c r="L52" s="227">
        <f>'[4]B37'!L52</f>
        <v>0</v>
      </c>
      <c r="M52" s="227">
        <f>'[4]B37'!M52</f>
        <v>0</v>
      </c>
      <c r="N52" s="227">
        <f>'[4]B37'!N52</f>
        <v>0</v>
      </c>
      <c r="O52" s="227">
        <f>'[4]B37'!O52</f>
        <v>0</v>
      </c>
      <c r="P52" s="227">
        <f>'[4]B37'!P52</f>
        <v>0</v>
      </c>
      <c r="Q52" s="227">
        <f>'[4]B37'!Q52</f>
        <v>0</v>
      </c>
      <c r="R52" s="227">
        <f>'[4]B37'!R52</f>
        <v>0</v>
      </c>
    </row>
    <row r="53" spans="1:18" ht="12.75">
      <c r="A53" s="278">
        <v>46</v>
      </c>
      <c r="B53" s="279" t="s">
        <v>422</v>
      </c>
      <c r="C53" s="227">
        <f t="shared" si="1"/>
        <v>7703</v>
      </c>
      <c r="D53" s="227">
        <f>7375+172+5+(39+30+35+47)</f>
        <v>7703</v>
      </c>
      <c r="E53" s="227"/>
      <c r="F53" s="227">
        <f>'[4]B37'!F53</f>
        <v>0</v>
      </c>
      <c r="G53" s="227">
        <f>'[4]B37'!G53</f>
        <v>0</v>
      </c>
      <c r="H53" s="227">
        <f>'[4]B37'!H53</f>
        <v>0</v>
      </c>
      <c r="I53" s="227">
        <f>'[4]B37'!I53</f>
        <v>0</v>
      </c>
      <c r="J53" s="227">
        <f>'[4]B37'!J53</f>
        <v>0</v>
      </c>
      <c r="K53" s="227">
        <f>'[4]B37'!K53</f>
        <v>0</v>
      </c>
      <c r="L53" s="227">
        <f>'[4]B37'!L53</f>
        <v>0</v>
      </c>
      <c r="M53" s="227">
        <f>'[4]B37'!M53</f>
        <v>0</v>
      </c>
      <c r="N53" s="227">
        <f>'[4]B37'!N53</f>
        <v>0</v>
      </c>
      <c r="O53" s="227">
        <f>'[4]B37'!O53</f>
        <v>0</v>
      </c>
      <c r="P53" s="227">
        <f>'[4]B37'!P53</f>
        <v>0</v>
      </c>
      <c r="Q53" s="227">
        <f>'[4]B37'!Q53</f>
        <v>0</v>
      </c>
      <c r="R53" s="227">
        <f>'[4]B37'!R53</f>
        <v>0</v>
      </c>
    </row>
    <row r="54" spans="1:18" ht="12.75">
      <c r="A54" s="278">
        <v>47</v>
      </c>
      <c r="B54" s="279" t="s">
        <v>406</v>
      </c>
      <c r="C54" s="227">
        <f t="shared" si="1"/>
        <v>17318</v>
      </c>
      <c r="D54" s="227">
        <f>17070+10+3+(63+47+53+72)</f>
        <v>17318</v>
      </c>
      <c r="E54" s="227"/>
      <c r="F54" s="227">
        <f>'[4]B37'!F54</f>
        <v>0</v>
      </c>
      <c r="G54" s="227">
        <f>'[4]B37'!G54</f>
        <v>0</v>
      </c>
      <c r="H54" s="227">
        <f>'[4]B37'!H54</f>
        <v>0</v>
      </c>
      <c r="I54" s="227">
        <f>'[4]B37'!I54</f>
        <v>0</v>
      </c>
      <c r="J54" s="227">
        <f>'[4]B37'!J54</f>
        <v>0</v>
      </c>
      <c r="K54" s="227">
        <f>'[4]B37'!K54</f>
        <v>0</v>
      </c>
      <c r="L54" s="227">
        <f>'[4]B37'!L54</f>
        <v>0</v>
      </c>
      <c r="M54" s="227">
        <f>'[4]B37'!M54</f>
        <v>0</v>
      </c>
      <c r="N54" s="227">
        <f>'[4]B37'!N54</f>
        <v>0</v>
      </c>
      <c r="O54" s="227">
        <f>'[4]B37'!O54</f>
        <v>0</v>
      </c>
      <c r="P54" s="227">
        <f>'[4]B37'!P54</f>
        <v>0</v>
      </c>
      <c r="Q54" s="227">
        <f>'[4]B37'!Q54</f>
        <v>0</v>
      </c>
      <c r="R54" s="227">
        <f>'[4]B37'!R54</f>
        <v>0</v>
      </c>
    </row>
    <row r="55" spans="1:18" ht="12.75">
      <c r="A55" s="278">
        <v>48</v>
      </c>
      <c r="B55" s="279" t="s">
        <v>420</v>
      </c>
      <c r="C55" s="227">
        <f t="shared" si="1"/>
        <v>9860</v>
      </c>
      <c r="D55" s="227">
        <f>9477+10+6+(100+71+101+95)</f>
        <v>9860</v>
      </c>
      <c r="E55" s="227"/>
      <c r="F55" s="227">
        <f>'[4]B37'!F55</f>
        <v>0</v>
      </c>
      <c r="G55" s="227">
        <f>'[4]B37'!G55</f>
        <v>0</v>
      </c>
      <c r="H55" s="227">
        <f>'[4]B37'!H55</f>
        <v>0</v>
      </c>
      <c r="I55" s="227">
        <f>'[4]B37'!I55</f>
        <v>0</v>
      </c>
      <c r="J55" s="227">
        <f>'[4]B37'!J55</f>
        <v>0</v>
      </c>
      <c r="K55" s="227">
        <f>'[4]B37'!K55</f>
        <v>0</v>
      </c>
      <c r="L55" s="227">
        <f>'[4]B37'!L55</f>
        <v>0</v>
      </c>
      <c r="M55" s="227">
        <f>'[4]B37'!M55</f>
        <v>0</v>
      </c>
      <c r="N55" s="227">
        <f>'[4]B37'!N55</f>
        <v>0</v>
      </c>
      <c r="O55" s="227">
        <f>'[4]B37'!O55</f>
        <v>0</v>
      </c>
      <c r="P55" s="227">
        <f>'[4]B37'!P55</f>
        <v>0</v>
      </c>
      <c r="Q55" s="227">
        <f>'[4]B37'!Q55</f>
        <v>0</v>
      </c>
      <c r="R55" s="227">
        <f>'[4]B37'!R55</f>
        <v>0</v>
      </c>
    </row>
    <row r="56" spans="1:18" ht="12.75">
      <c r="A56" s="278">
        <v>49</v>
      </c>
      <c r="B56" s="279" t="s">
        <v>414</v>
      </c>
      <c r="C56" s="227">
        <f t="shared" si="1"/>
        <v>9421</v>
      </c>
      <c r="D56" s="227">
        <f>8988+1+(103+102+128+99)</f>
        <v>9421</v>
      </c>
      <c r="E56" s="227"/>
      <c r="F56" s="227">
        <f>'[4]B37'!F56</f>
        <v>0</v>
      </c>
      <c r="G56" s="227">
        <f>'[4]B37'!G56</f>
        <v>0</v>
      </c>
      <c r="H56" s="227">
        <f>'[4]B37'!H56</f>
        <v>0</v>
      </c>
      <c r="I56" s="227">
        <f>'[4]B37'!I56</f>
        <v>0</v>
      </c>
      <c r="J56" s="227">
        <f>'[4]B37'!J56</f>
        <v>0</v>
      </c>
      <c r="K56" s="227">
        <f>'[4]B37'!K56</f>
        <v>0</v>
      </c>
      <c r="L56" s="227">
        <f>'[4]B37'!L56</f>
        <v>0</v>
      </c>
      <c r="M56" s="227">
        <f>'[4]B37'!M56</f>
        <v>0</v>
      </c>
      <c r="N56" s="227">
        <f>'[4]B37'!N56</f>
        <v>0</v>
      </c>
      <c r="O56" s="227">
        <f>'[4]B37'!O56</f>
        <v>0</v>
      </c>
      <c r="P56" s="227">
        <f>'[4]B37'!P56</f>
        <v>0</v>
      </c>
      <c r="Q56" s="227">
        <f>'[4]B37'!Q56</f>
        <v>0</v>
      </c>
      <c r="R56" s="227">
        <f>'[4]B37'!R56</f>
        <v>0</v>
      </c>
    </row>
    <row r="57" spans="1:18" ht="12.75">
      <c r="A57" s="278">
        <v>50</v>
      </c>
      <c r="B57" s="279" t="s">
        <v>419</v>
      </c>
      <c r="C57" s="227">
        <f t="shared" si="1"/>
        <v>7330</v>
      </c>
      <c r="D57" s="227">
        <f>7004+6+107+(37+43+55+78)</f>
        <v>7330</v>
      </c>
      <c r="E57" s="227"/>
      <c r="F57" s="227">
        <f>'[4]B37'!F57</f>
        <v>0</v>
      </c>
      <c r="G57" s="227">
        <f>'[4]B37'!G57</f>
        <v>0</v>
      </c>
      <c r="H57" s="227">
        <f>'[4]B37'!H57</f>
        <v>0</v>
      </c>
      <c r="I57" s="227">
        <f>'[4]B37'!I57</f>
        <v>0</v>
      </c>
      <c r="J57" s="227">
        <f>'[4]B37'!J57</f>
        <v>0</v>
      </c>
      <c r="K57" s="227">
        <f>'[4]B37'!K57</f>
        <v>0</v>
      </c>
      <c r="L57" s="227">
        <f>'[4]B37'!L57</f>
        <v>0</v>
      </c>
      <c r="M57" s="227">
        <f>'[4]B37'!M57</f>
        <v>0</v>
      </c>
      <c r="N57" s="227">
        <f>'[4]B37'!N57</f>
        <v>0</v>
      </c>
      <c r="O57" s="227">
        <f>'[4]B37'!O57</f>
        <v>0</v>
      </c>
      <c r="P57" s="227">
        <f>'[4]B37'!P57</f>
        <v>0</v>
      </c>
      <c r="Q57" s="227">
        <f>'[4]B37'!Q57</f>
        <v>0</v>
      </c>
      <c r="R57" s="227">
        <f>'[4]B37'!R57</f>
        <v>0</v>
      </c>
    </row>
    <row r="58" spans="1:18" ht="12.75">
      <c r="A58" s="278">
        <v>51</v>
      </c>
      <c r="B58" s="279" t="s">
        <v>444</v>
      </c>
      <c r="C58" s="227">
        <f t="shared" si="1"/>
        <v>17678</v>
      </c>
      <c r="D58" s="227">
        <f>17640+10+9+(6+6+7)</f>
        <v>17678</v>
      </c>
      <c r="E58" s="227"/>
      <c r="F58" s="227">
        <f>'[4]B37'!F58</f>
        <v>0</v>
      </c>
      <c r="G58" s="227">
        <f>'[4]B37'!G58</f>
        <v>0</v>
      </c>
      <c r="H58" s="227">
        <f>'[4]B37'!H58</f>
        <v>0</v>
      </c>
      <c r="I58" s="227">
        <f>'[4]B37'!I58</f>
        <v>0</v>
      </c>
      <c r="J58" s="227">
        <f>'[4]B37'!J58</f>
        <v>0</v>
      </c>
      <c r="K58" s="227">
        <f>'[4]B37'!K58</f>
        <v>0</v>
      </c>
      <c r="L58" s="227">
        <f>'[4]B37'!L58</f>
        <v>0</v>
      </c>
      <c r="M58" s="227">
        <f>'[4]B37'!M58</f>
        <v>0</v>
      </c>
      <c r="N58" s="227">
        <f>'[4]B37'!N58</f>
        <v>0</v>
      </c>
      <c r="O58" s="227">
        <f>'[4]B37'!O58</f>
        <v>0</v>
      </c>
      <c r="P58" s="227">
        <f>'[4]B37'!P58</f>
        <v>0</v>
      </c>
      <c r="Q58" s="227">
        <f>'[4]B37'!Q58</f>
        <v>0</v>
      </c>
      <c r="R58" s="227">
        <f>'[4]B37'!R58</f>
        <v>0</v>
      </c>
    </row>
    <row r="59" spans="1:18" ht="12.75">
      <c r="A59" s="278">
        <v>52</v>
      </c>
      <c r="B59" s="279" t="s">
        <v>407</v>
      </c>
      <c r="C59" s="227">
        <f t="shared" si="1"/>
        <v>9427</v>
      </c>
      <c r="D59" s="227">
        <f>9389+10+1+(10+6+11)</f>
        <v>9427</v>
      </c>
      <c r="E59" s="227"/>
      <c r="F59" s="227">
        <f>'[4]B37'!F59</f>
        <v>0</v>
      </c>
      <c r="G59" s="227">
        <f>'[4]B37'!G59</f>
        <v>0</v>
      </c>
      <c r="H59" s="227">
        <f>'[4]B37'!H59</f>
        <v>0</v>
      </c>
      <c r="I59" s="227">
        <f>'[4]B37'!I59</f>
        <v>0</v>
      </c>
      <c r="J59" s="227">
        <f>'[4]B37'!J59</f>
        <v>0</v>
      </c>
      <c r="K59" s="227">
        <f>'[4]B37'!K59</f>
        <v>0</v>
      </c>
      <c r="L59" s="227">
        <f>'[4]B37'!L59</f>
        <v>0</v>
      </c>
      <c r="M59" s="227">
        <f>'[4]B37'!M59</f>
        <v>0</v>
      </c>
      <c r="N59" s="227">
        <f>'[4]B37'!N59</f>
        <v>0</v>
      </c>
      <c r="O59" s="227">
        <f>'[4]B37'!O59</f>
        <v>0</v>
      </c>
      <c r="P59" s="227">
        <f>'[4]B37'!P59</f>
        <v>0</v>
      </c>
      <c r="Q59" s="227">
        <f>'[4]B37'!Q59</f>
        <v>0</v>
      </c>
      <c r="R59" s="227">
        <f>'[4]B37'!R59</f>
        <v>0</v>
      </c>
    </row>
    <row r="60" spans="1:18" ht="12.75">
      <c r="A60" s="278">
        <v>53</v>
      </c>
      <c r="B60" s="279" t="s">
        <v>417</v>
      </c>
      <c r="C60" s="227">
        <f t="shared" si="1"/>
        <v>7431</v>
      </c>
      <c r="D60" s="227">
        <f>7231+193+7</f>
        <v>7431</v>
      </c>
      <c r="E60" s="227"/>
      <c r="F60" s="227">
        <f>'[4]B37'!F60</f>
        <v>0</v>
      </c>
      <c r="G60" s="227">
        <f>'[4]B37'!G60</f>
        <v>0</v>
      </c>
      <c r="H60" s="227">
        <f>'[4]B37'!H60</f>
        <v>0</v>
      </c>
      <c r="I60" s="227">
        <f>'[4]B37'!I60</f>
        <v>0</v>
      </c>
      <c r="J60" s="227">
        <f>'[4]B37'!J60</f>
        <v>0</v>
      </c>
      <c r="K60" s="227">
        <f>'[4]B37'!K60</f>
        <v>0</v>
      </c>
      <c r="L60" s="227">
        <f>'[4]B37'!L60</f>
        <v>0</v>
      </c>
      <c r="M60" s="227">
        <f>'[4]B37'!M60</f>
        <v>0</v>
      </c>
      <c r="N60" s="227">
        <f>'[4]B37'!N60</f>
        <v>0</v>
      </c>
      <c r="O60" s="227">
        <f>'[4]B37'!O60</f>
        <v>0</v>
      </c>
      <c r="P60" s="227">
        <f>'[4]B37'!P60</f>
        <v>0</v>
      </c>
      <c r="Q60" s="227">
        <f>'[4]B37'!Q60</f>
        <v>0</v>
      </c>
      <c r="R60" s="227">
        <f>'[4]B37'!R60</f>
        <v>0</v>
      </c>
    </row>
    <row r="61" spans="1:18" ht="12.75">
      <c r="A61" s="278">
        <v>54</v>
      </c>
      <c r="B61" s="279" t="s">
        <v>408</v>
      </c>
      <c r="C61" s="227">
        <f t="shared" si="1"/>
        <v>8977</v>
      </c>
      <c r="D61" s="227">
        <f>8887+10+66+8+(6)</f>
        <v>8977</v>
      </c>
      <c r="E61" s="227"/>
      <c r="F61" s="227">
        <f>'[4]B37'!F61</f>
        <v>0</v>
      </c>
      <c r="G61" s="227">
        <f>'[4]B37'!G61</f>
        <v>0</v>
      </c>
      <c r="H61" s="227">
        <f>'[4]B37'!H61</f>
        <v>0</v>
      </c>
      <c r="I61" s="227">
        <f>'[4]B37'!I61</f>
        <v>0</v>
      </c>
      <c r="J61" s="227">
        <f>'[4]B37'!J61</f>
        <v>0</v>
      </c>
      <c r="K61" s="227">
        <f>'[4]B37'!K61</f>
        <v>0</v>
      </c>
      <c r="L61" s="227">
        <f>'[4]B37'!L61</f>
        <v>0</v>
      </c>
      <c r="M61" s="227">
        <f>'[4]B37'!M61</f>
        <v>0</v>
      </c>
      <c r="N61" s="227">
        <f>'[4]B37'!N61</f>
        <v>0</v>
      </c>
      <c r="O61" s="227">
        <f>'[4]B37'!O61</f>
        <v>0</v>
      </c>
      <c r="P61" s="227">
        <f>'[4]B37'!P61</f>
        <v>0</v>
      </c>
      <c r="Q61" s="227">
        <f>'[4]B37'!Q61</f>
        <v>0</v>
      </c>
      <c r="R61" s="227">
        <f>'[4]B37'!R61</f>
        <v>0</v>
      </c>
    </row>
    <row r="62" spans="1:18" ht="12.75">
      <c r="A62" s="278">
        <v>55</v>
      </c>
      <c r="B62" s="279" t="s">
        <v>415</v>
      </c>
      <c r="C62" s="227">
        <f t="shared" si="1"/>
        <v>9021</v>
      </c>
      <c r="D62" s="227">
        <f>8953+10+22+(7+9+20)</f>
        <v>9021</v>
      </c>
      <c r="E62" s="227"/>
      <c r="F62" s="227">
        <f>'[4]B37'!F62</f>
        <v>0</v>
      </c>
      <c r="G62" s="227">
        <f>'[4]B37'!G62</f>
        <v>0</v>
      </c>
      <c r="H62" s="227">
        <f>'[4]B37'!H62</f>
        <v>0</v>
      </c>
      <c r="I62" s="227">
        <f>'[4]B37'!I62</f>
        <v>0</v>
      </c>
      <c r="J62" s="227">
        <f>'[4]B37'!J62</f>
        <v>0</v>
      </c>
      <c r="K62" s="227">
        <f>'[4]B37'!K62</f>
        <v>0</v>
      </c>
      <c r="L62" s="227">
        <f>'[4]B37'!L62</f>
        <v>0</v>
      </c>
      <c r="M62" s="227">
        <f>'[4]B37'!M62</f>
        <v>0</v>
      </c>
      <c r="N62" s="227">
        <f>'[4]B37'!N62</f>
        <v>0</v>
      </c>
      <c r="O62" s="227">
        <f>'[4]B37'!O62</f>
        <v>0</v>
      </c>
      <c r="P62" s="227">
        <f>'[4]B37'!P62</f>
        <v>0</v>
      </c>
      <c r="Q62" s="227">
        <f>'[4]B37'!Q62</f>
        <v>0</v>
      </c>
      <c r="R62" s="227">
        <f>'[4]B37'!R62</f>
        <v>0</v>
      </c>
    </row>
    <row r="63" spans="1:18" ht="12.75">
      <c r="A63" s="278">
        <v>56</v>
      </c>
      <c r="B63" s="279" t="s">
        <v>409</v>
      </c>
      <c r="C63" s="227">
        <f t="shared" si="1"/>
        <v>10484</v>
      </c>
      <c r="D63" s="227">
        <f>10160+4+(58+74+84+104)</f>
        <v>10484</v>
      </c>
      <c r="E63" s="227"/>
      <c r="F63" s="227">
        <f>'[4]B37'!F63</f>
        <v>0</v>
      </c>
      <c r="G63" s="227">
        <f>'[4]B37'!G63</f>
        <v>0</v>
      </c>
      <c r="H63" s="227">
        <f>'[4]B37'!H63</f>
        <v>0</v>
      </c>
      <c r="I63" s="227">
        <f>'[4]B37'!I63</f>
        <v>0</v>
      </c>
      <c r="J63" s="227">
        <f>'[4]B37'!J63</f>
        <v>0</v>
      </c>
      <c r="K63" s="227">
        <f>'[4]B37'!K63</f>
        <v>0</v>
      </c>
      <c r="L63" s="227">
        <f>'[4]B37'!L63</f>
        <v>0</v>
      </c>
      <c r="M63" s="227">
        <f>'[4]B37'!M63</f>
        <v>0</v>
      </c>
      <c r="N63" s="227">
        <f>'[4]B37'!N63</f>
        <v>0</v>
      </c>
      <c r="O63" s="227">
        <f>'[4]B37'!O63</f>
        <v>0</v>
      </c>
      <c r="P63" s="227">
        <f>'[4]B37'!P63</f>
        <v>0</v>
      </c>
      <c r="Q63" s="227">
        <f>'[4]B37'!Q63</f>
        <v>0</v>
      </c>
      <c r="R63" s="227">
        <f>'[4]B37'!R63</f>
        <v>0</v>
      </c>
    </row>
    <row r="64" spans="1:18" ht="12.75">
      <c r="A64" s="278">
        <v>57</v>
      </c>
      <c r="B64" s="279" t="s">
        <v>416</v>
      </c>
      <c r="C64" s="227">
        <f t="shared" si="1"/>
        <v>7781</v>
      </c>
      <c r="D64" s="227">
        <f>7577+6+175+(11+4+5+3)</f>
        <v>7781</v>
      </c>
      <c r="E64" s="227"/>
      <c r="F64" s="227">
        <f>'[4]B37'!F64</f>
        <v>0</v>
      </c>
      <c r="G64" s="227">
        <f>'[4]B37'!G64</f>
        <v>0</v>
      </c>
      <c r="H64" s="227">
        <f>'[4]B37'!H64</f>
        <v>0</v>
      </c>
      <c r="I64" s="227">
        <f>'[4]B37'!I64</f>
        <v>0</v>
      </c>
      <c r="J64" s="227">
        <f>'[4]B37'!J64</f>
        <v>0</v>
      </c>
      <c r="K64" s="227">
        <f>'[4]B37'!K64</f>
        <v>0</v>
      </c>
      <c r="L64" s="227">
        <f>'[4]B37'!L64</f>
        <v>0</v>
      </c>
      <c r="M64" s="227">
        <f>'[4]B37'!M64</f>
        <v>0</v>
      </c>
      <c r="N64" s="227">
        <f>'[4]B37'!N64</f>
        <v>0</v>
      </c>
      <c r="O64" s="227">
        <f>'[4]B37'!O64</f>
        <v>0</v>
      </c>
      <c r="P64" s="227">
        <f>'[4]B37'!P64</f>
        <v>0</v>
      </c>
      <c r="Q64" s="227">
        <f>'[4]B37'!Q64</f>
        <v>0</v>
      </c>
      <c r="R64" s="227">
        <f>'[4]B37'!R64</f>
        <v>0</v>
      </c>
    </row>
    <row r="65" spans="1:18" ht="12.75">
      <c r="A65" s="278">
        <v>58</v>
      </c>
      <c r="B65" s="279" t="s">
        <v>410</v>
      </c>
      <c r="C65" s="227">
        <f t="shared" si="1"/>
        <v>9320</v>
      </c>
      <c r="D65" s="227">
        <f>9115+7+(42+55+55+46)</f>
        <v>9320</v>
      </c>
      <c r="E65" s="227"/>
      <c r="F65" s="227">
        <f>'[4]B37'!F65</f>
        <v>0</v>
      </c>
      <c r="G65" s="227">
        <f>'[4]B37'!G65</f>
        <v>0</v>
      </c>
      <c r="H65" s="227">
        <f>'[4]B37'!H65</f>
        <v>0</v>
      </c>
      <c r="I65" s="227">
        <f>'[4]B37'!I65</f>
        <v>0</v>
      </c>
      <c r="J65" s="227">
        <f>'[4]B37'!J65</f>
        <v>0</v>
      </c>
      <c r="K65" s="227">
        <f>'[4]B37'!K65</f>
        <v>0</v>
      </c>
      <c r="L65" s="227">
        <f>'[4]B37'!L65</f>
        <v>0</v>
      </c>
      <c r="M65" s="227">
        <f>'[4]B37'!M65</f>
        <v>0</v>
      </c>
      <c r="N65" s="227">
        <f>'[4]B37'!N65</f>
        <v>0</v>
      </c>
      <c r="O65" s="227">
        <f>'[4]B37'!O65</f>
        <v>0</v>
      </c>
      <c r="P65" s="227">
        <f>'[4]B37'!P65</f>
        <v>0</v>
      </c>
      <c r="Q65" s="227">
        <f>'[4]B37'!Q65</f>
        <v>0</v>
      </c>
      <c r="R65" s="227">
        <f>'[4]B37'!R65</f>
        <v>0</v>
      </c>
    </row>
    <row r="66" spans="1:18" ht="12.75">
      <c r="A66" s="278">
        <v>59</v>
      </c>
      <c r="B66" s="279" t="s">
        <v>404</v>
      </c>
      <c r="C66" s="227">
        <f t="shared" si="1"/>
        <v>5053</v>
      </c>
      <c r="D66" s="227">
        <f>4717+43+6+(7+15+19+169+77)</f>
        <v>5053</v>
      </c>
      <c r="E66" s="227"/>
      <c r="F66" s="227">
        <f>'[4]B37'!F66</f>
        <v>0</v>
      </c>
      <c r="G66" s="227">
        <f>'[4]B37'!G66</f>
        <v>0</v>
      </c>
      <c r="H66" s="227">
        <f>'[4]B37'!H66</f>
        <v>0</v>
      </c>
      <c r="I66" s="227">
        <f>'[4]B37'!I66</f>
        <v>0</v>
      </c>
      <c r="J66" s="227">
        <f>'[4]B37'!J66</f>
        <v>0</v>
      </c>
      <c r="K66" s="227">
        <f>'[4]B37'!K66</f>
        <v>0</v>
      </c>
      <c r="L66" s="227">
        <f>'[4]B37'!L66</f>
        <v>0</v>
      </c>
      <c r="M66" s="227">
        <f>'[4]B37'!M66</f>
        <v>0</v>
      </c>
      <c r="N66" s="227">
        <f>'[4]B37'!N66</f>
        <v>0</v>
      </c>
      <c r="O66" s="227">
        <f>'[4]B37'!O66</f>
        <v>0</v>
      </c>
      <c r="P66" s="227">
        <f>'[4]B37'!P66</f>
        <v>0</v>
      </c>
      <c r="Q66" s="227">
        <f>'[4]B37'!Q66</f>
        <v>0</v>
      </c>
      <c r="R66" s="227">
        <f>'[4]B37'!R66</f>
        <v>0</v>
      </c>
    </row>
    <row r="67" spans="1:18" ht="12.75">
      <c r="A67" s="278">
        <v>60</v>
      </c>
      <c r="B67" s="279" t="s">
        <v>411</v>
      </c>
      <c r="C67" s="227">
        <f t="shared" si="1"/>
        <v>13443</v>
      </c>
      <c r="D67" s="227">
        <f>13211+26+(66+62+78)</f>
        <v>13443</v>
      </c>
      <c r="E67" s="227"/>
      <c r="F67" s="227">
        <f>'[4]B37'!F67</f>
        <v>0</v>
      </c>
      <c r="G67" s="227">
        <f>'[4]B37'!G67</f>
        <v>0</v>
      </c>
      <c r="H67" s="227">
        <f>'[4]B37'!H67</f>
        <v>0</v>
      </c>
      <c r="I67" s="227">
        <f>'[4]B37'!I67</f>
        <v>0</v>
      </c>
      <c r="J67" s="227">
        <f>'[4]B37'!J67</f>
        <v>0</v>
      </c>
      <c r="K67" s="227">
        <f>'[4]B37'!K67</f>
        <v>0</v>
      </c>
      <c r="L67" s="227">
        <f>'[4]B37'!L67</f>
        <v>0</v>
      </c>
      <c r="M67" s="227">
        <f>'[4]B37'!M67</f>
        <v>0</v>
      </c>
      <c r="N67" s="227">
        <f>'[4]B37'!N67</f>
        <v>0</v>
      </c>
      <c r="O67" s="227">
        <f>'[4]B37'!O67</f>
        <v>0</v>
      </c>
      <c r="P67" s="227">
        <f>'[4]B37'!P67</f>
        <v>0</v>
      </c>
      <c r="Q67" s="227">
        <f>'[4]B37'!Q67</f>
        <v>0</v>
      </c>
      <c r="R67" s="227">
        <f>'[4]B37'!R67</f>
        <v>0</v>
      </c>
    </row>
    <row r="68" spans="1:18" ht="12.75">
      <c r="A68" s="278">
        <v>61</v>
      </c>
      <c r="B68" s="279" t="s">
        <v>412</v>
      </c>
      <c r="C68" s="227">
        <f t="shared" si="1"/>
        <v>11444</v>
      </c>
      <c r="D68" s="227">
        <f>11375+10+3+(14+12+16+14)</f>
        <v>11444</v>
      </c>
      <c r="E68" s="227"/>
      <c r="F68" s="227">
        <f>'[4]B37'!F68</f>
        <v>0</v>
      </c>
      <c r="G68" s="227">
        <f>'[4]B37'!G68</f>
        <v>0</v>
      </c>
      <c r="H68" s="227">
        <f>'[4]B37'!H68</f>
        <v>0</v>
      </c>
      <c r="I68" s="227">
        <f>'[4]B37'!I68</f>
        <v>0</v>
      </c>
      <c r="J68" s="227">
        <f>'[4]B37'!J68</f>
        <v>0</v>
      </c>
      <c r="K68" s="227">
        <f>'[4]B37'!K68</f>
        <v>0</v>
      </c>
      <c r="L68" s="227">
        <f>'[4]B37'!L68</f>
        <v>0</v>
      </c>
      <c r="M68" s="227">
        <f>'[4]B37'!M68</f>
        <v>0</v>
      </c>
      <c r="N68" s="227">
        <f>'[4]B37'!N68</f>
        <v>0</v>
      </c>
      <c r="O68" s="227">
        <f>'[4]B37'!O68</f>
        <v>0</v>
      </c>
      <c r="P68" s="227">
        <f>'[4]B37'!P68</f>
        <v>0</v>
      </c>
      <c r="Q68" s="227">
        <f>'[4]B37'!Q68</f>
        <v>0</v>
      </c>
      <c r="R68" s="227">
        <f>'[4]B37'!R68</f>
        <v>0</v>
      </c>
    </row>
    <row r="69" spans="1:18" ht="12.75">
      <c r="A69" s="278">
        <v>62</v>
      </c>
      <c r="B69" s="279" t="s">
        <v>421</v>
      </c>
      <c r="C69" s="227">
        <f t="shared" si="1"/>
        <v>6513</v>
      </c>
      <c r="D69" s="227">
        <f>6396+10+32+(19+21+24+11)</f>
        <v>6513</v>
      </c>
      <c r="E69" s="227"/>
      <c r="F69" s="227">
        <f>'[4]B37'!F69</f>
        <v>0</v>
      </c>
      <c r="G69" s="227">
        <f>'[4]B37'!G69</f>
        <v>0</v>
      </c>
      <c r="H69" s="227">
        <f>'[4]B37'!H69</f>
        <v>0</v>
      </c>
      <c r="I69" s="227">
        <f>'[4]B37'!I69</f>
        <v>0</v>
      </c>
      <c r="J69" s="227">
        <f>'[4]B37'!J69</f>
        <v>0</v>
      </c>
      <c r="K69" s="227">
        <f>'[4]B37'!K69</f>
        <v>0</v>
      </c>
      <c r="L69" s="227">
        <f>'[4]B37'!L69</f>
        <v>0</v>
      </c>
      <c r="M69" s="227">
        <f>'[4]B37'!M69</f>
        <v>0</v>
      </c>
      <c r="N69" s="227">
        <f>'[4]B37'!N69</f>
        <v>0</v>
      </c>
      <c r="O69" s="227">
        <f>'[4]B37'!O69</f>
        <v>0</v>
      </c>
      <c r="P69" s="227">
        <f>'[4]B37'!P69</f>
        <v>0</v>
      </c>
      <c r="Q69" s="227">
        <f>'[4]B37'!Q69</f>
        <v>0</v>
      </c>
      <c r="R69" s="227">
        <f>'[4]B37'!R69</f>
        <v>0</v>
      </c>
    </row>
    <row r="70" spans="1:18" ht="12.75">
      <c r="A70" s="341">
        <v>63</v>
      </c>
      <c r="B70" s="280" t="s">
        <v>413</v>
      </c>
      <c r="C70" s="281">
        <f t="shared" si="1"/>
        <v>10767</v>
      </c>
      <c r="D70" s="281">
        <f>10550+38+(36+42+53+48)</f>
        <v>10767</v>
      </c>
      <c r="E70" s="281"/>
      <c r="F70" s="281">
        <f>'[4]B37'!F70</f>
        <v>0</v>
      </c>
      <c r="G70" s="281">
        <f>'[4]B37'!G70</f>
        <v>0</v>
      </c>
      <c r="H70" s="281">
        <f>'[4]B37'!H70</f>
        <v>0</v>
      </c>
      <c r="I70" s="281">
        <f>'[4]B37'!I70</f>
        <v>0</v>
      </c>
      <c r="J70" s="281">
        <f>'[4]B37'!J70</f>
        <v>0</v>
      </c>
      <c r="K70" s="281">
        <f>'[4]B37'!K70</f>
        <v>0</v>
      </c>
      <c r="L70" s="281">
        <f>'[4]B37'!L70</f>
        <v>0</v>
      </c>
      <c r="M70" s="281">
        <f>'[4]B37'!M70</f>
        <v>0</v>
      </c>
      <c r="N70" s="281">
        <f>'[4]B37'!N70</f>
        <v>0</v>
      </c>
      <c r="O70" s="281">
        <f>'[4]B37'!O70</f>
        <v>0</v>
      </c>
      <c r="P70" s="281">
        <f>'[4]B37'!P70</f>
        <v>0</v>
      </c>
      <c r="Q70" s="281">
        <f>'[4]B37'!Q70</f>
        <v>0</v>
      </c>
      <c r="R70" s="281">
        <f>'[4]B37'!R70</f>
        <v>0</v>
      </c>
    </row>
    <row r="71" spans="1:18" ht="12.75">
      <c r="A71" s="278">
        <v>64</v>
      </c>
      <c r="B71" s="279" t="s">
        <v>418</v>
      </c>
      <c r="C71" s="227">
        <f t="shared" si="1"/>
        <v>7346</v>
      </c>
      <c r="D71" s="227">
        <f>7025+229+48+(6+11+14+13)</f>
        <v>7346</v>
      </c>
      <c r="E71" s="227"/>
      <c r="F71" s="227">
        <f>'[4]B37'!F71</f>
        <v>0</v>
      </c>
      <c r="G71" s="227">
        <f>'[4]B37'!G71</f>
        <v>0</v>
      </c>
      <c r="H71" s="227">
        <f>'[4]B37'!H71</f>
        <v>0</v>
      </c>
      <c r="I71" s="227">
        <f>'[4]B37'!I71</f>
        <v>0</v>
      </c>
      <c r="J71" s="227">
        <f>'[4]B37'!J71</f>
        <v>0</v>
      </c>
      <c r="K71" s="227">
        <f>'[4]B37'!K71</f>
        <v>0</v>
      </c>
      <c r="L71" s="227">
        <f>'[4]B37'!L71</f>
        <v>0</v>
      </c>
      <c r="M71" s="227">
        <f>'[4]B37'!M71</f>
        <v>0</v>
      </c>
      <c r="N71" s="227">
        <f>'[4]B37'!N71</f>
        <v>0</v>
      </c>
      <c r="O71" s="227">
        <f>'[4]B37'!O71</f>
        <v>0</v>
      </c>
      <c r="P71" s="227">
        <f>'[4]B37'!P71</f>
        <v>0</v>
      </c>
      <c r="Q71" s="227">
        <f>'[4]B37'!Q71</f>
        <v>0</v>
      </c>
      <c r="R71" s="227">
        <f>'[4]B37'!R71</f>
        <v>0</v>
      </c>
    </row>
    <row r="72" spans="1:18" ht="12.75">
      <c r="A72" s="278">
        <v>65</v>
      </c>
      <c r="B72" s="279" t="s">
        <v>445</v>
      </c>
      <c r="C72" s="227">
        <f t="shared" si="1"/>
        <v>12719</v>
      </c>
      <c r="D72" s="227">
        <f>12591+10+17+41+(34+6+5+15)</f>
        <v>12719</v>
      </c>
      <c r="E72" s="227"/>
      <c r="F72" s="227">
        <f>'[4]B37'!F72</f>
        <v>0</v>
      </c>
      <c r="G72" s="227">
        <f>'[4]B37'!G72</f>
        <v>0</v>
      </c>
      <c r="H72" s="227">
        <f>'[4]B37'!H72</f>
        <v>0</v>
      </c>
      <c r="I72" s="227">
        <f>'[4]B37'!I72</f>
        <v>0</v>
      </c>
      <c r="J72" s="227">
        <f>'[4]B37'!J72</f>
        <v>0</v>
      </c>
      <c r="K72" s="227">
        <f>'[4]B37'!K72</f>
        <v>0</v>
      </c>
      <c r="L72" s="227">
        <f>'[4]B37'!L72</f>
        <v>0</v>
      </c>
      <c r="M72" s="227">
        <f>'[4]B37'!M72</f>
        <v>0</v>
      </c>
      <c r="N72" s="227">
        <f>'[4]B37'!N72</f>
        <v>0</v>
      </c>
      <c r="O72" s="227">
        <f>'[4]B37'!O72</f>
        <v>0</v>
      </c>
      <c r="P72" s="227">
        <f>'[4]B37'!P72</f>
        <v>0</v>
      </c>
      <c r="Q72" s="227">
        <f>'[4]B37'!Q72</f>
        <v>0</v>
      </c>
      <c r="R72" s="227">
        <f>'[4]B37'!R72</f>
        <v>0</v>
      </c>
    </row>
    <row r="73" spans="1:18" ht="12.75">
      <c r="A73" s="278">
        <v>66</v>
      </c>
      <c r="B73" s="279" t="s">
        <v>489</v>
      </c>
      <c r="C73" s="227">
        <f t="shared" si="1"/>
        <v>2874</v>
      </c>
      <c r="D73" s="227">
        <f>2873+1</f>
        <v>2874</v>
      </c>
      <c r="E73" s="227"/>
      <c r="F73" s="227">
        <f>'[4]B37'!F73</f>
        <v>0</v>
      </c>
      <c r="G73" s="227">
        <f>'[4]B37'!G73</f>
        <v>0</v>
      </c>
      <c r="H73" s="227">
        <f>'[4]B37'!H73</f>
        <v>0</v>
      </c>
      <c r="I73" s="227">
        <f>'[4]B37'!I73</f>
        <v>0</v>
      </c>
      <c r="J73" s="227">
        <f>'[4]B37'!J73</f>
        <v>0</v>
      </c>
      <c r="K73" s="227">
        <f>'[4]B37'!K73</f>
        <v>0</v>
      </c>
      <c r="L73" s="227">
        <f>'[4]B37'!L73</f>
        <v>0</v>
      </c>
      <c r="M73" s="227">
        <f>'[4]B37'!M73</f>
        <v>0</v>
      </c>
      <c r="N73" s="227">
        <f>'[4]B37'!N73</f>
        <v>0</v>
      </c>
      <c r="O73" s="227">
        <f>'[4]B37'!O73</f>
        <v>0</v>
      </c>
      <c r="P73" s="227">
        <f>'[4]B37'!P73</f>
        <v>0</v>
      </c>
      <c r="Q73" s="227">
        <f>'[4]B37'!Q73</f>
        <v>0</v>
      </c>
      <c r="R73" s="227">
        <f>'[4]B37'!R73</f>
        <v>0</v>
      </c>
    </row>
    <row r="74" spans="1:18" ht="12.75">
      <c r="A74" s="278">
        <v>67</v>
      </c>
      <c r="B74" s="279" t="s">
        <v>286</v>
      </c>
      <c r="C74" s="227">
        <f aca="true" t="shared" si="2" ref="C74:C123">SUM(D74:M74,P74:R74)</f>
        <v>12983</v>
      </c>
      <c r="D74" s="227">
        <f>11966+269+216+175+13+(48+63+89+144)</f>
        <v>12983</v>
      </c>
      <c r="E74" s="227"/>
      <c r="F74" s="227">
        <f>'[4]B37'!F74</f>
        <v>0</v>
      </c>
      <c r="G74" s="227">
        <f>'[4]B37'!G74</f>
        <v>0</v>
      </c>
      <c r="H74" s="227">
        <f>'[4]B37'!H74</f>
        <v>0</v>
      </c>
      <c r="I74" s="227">
        <f>'[4]B37'!I74</f>
        <v>0</v>
      </c>
      <c r="J74" s="227">
        <f>'[4]B37'!J74</f>
        <v>0</v>
      </c>
      <c r="K74" s="227">
        <f>'[4]B37'!K74</f>
        <v>0</v>
      </c>
      <c r="L74" s="227">
        <f>'[4]B37'!L74</f>
        <v>0</v>
      </c>
      <c r="M74" s="227">
        <f>'[4]B37'!M74</f>
        <v>0</v>
      </c>
      <c r="N74" s="227">
        <f>'[4]B37'!N74</f>
        <v>0</v>
      </c>
      <c r="O74" s="227">
        <f>'[4]B37'!O74</f>
        <v>0</v>
      </c>
      <c r="P74" s="227">
        <f>'[4]B37'!P74</f>
        <v>0</v>
      </c>
      <c r="Q74" s="227">
        <f>'[4]B37'!Q74</f>
        <v>0</v>
      </c>
      <c r="R74" s="227">
        <f>'[4]B37'!R74</f>
        <v>0</v>
      </c>
    </row>
    <row r="75" spans="1:18" ht="12.75">
      <c r="A75" s="278">
        <v>68</v>
      </c>
      <c r="B75" s="279" t="s">
        <v>285</v>
      </c>
      <c r="C75" s="227">
        <f t="shared" si="2"/>
        <v>7649</v>
      </c>
      <c r="D75" s="227">
        <f>7238+150+124+7+(17+33+42+38)</f>
        <v>7649</v>
      </c>
      <c r="E75" s="227"/>
      <c r="F75" s="227">
        <f>'[4]B37'!F75</f>
        <v>0</v>
      </c>
      <c r="G75" s="227">
        <f>'[4]B37'!G75</f>
        <v>0</v>
      </c>
      <c r="H75" s="227">
        <f>'[4]B37'!H75</f>
        <v>0</v>
      </c>
      <c r="I75" s="227">
        <f>'[4]B37'!I75</f>
        <v>0</v>
      </c>
      <c r="J75" s="227">
        <f>'[4]B37'!J75</f>
        <v>0</v>
      </c>
      <c r="K75" s="227">
        <f>'[4]B37'!K75</f>
        <v>0</v>
      </c>
      <c r="L75" s="227">
        <f>'[4]B37'!L75</f>
        <v>0</v>
      </c>
      <c r="M75" s="227">
        <f>'[4]B37'!M75</f>
        <v>0</v>
      </c>
      <c r="N75" s="227">
        <f>'[4]B37'!N75</f>
        <v>0</v>
      </c>
      <c r="O75" s="227">
        <f>'[4]B37'!O75</f>
        <v>0</v>
      </c>
      <c r="P75" s="227">
        <f>'[4]B37'!P75</f>
        <v>0</v>
      </c>
      <c r="Q75" s="227">
        <f>'[4]B37'!Q75</f>
        <v>0</v>
      </c>
      <c r="R75" s="227">
        <f>'[4]B37'!R75</f>
        <v>0</v>
      </c>
    </row>
    <row r="76" spans="1:18" ht="12.75">
      <c r="A76" s="278">
        <v>69</v>
      </c>
      <c r="B76" s="279" t="s">
        <v>287</v>
      </c>
      <c r="C76" s="227">
        <f t="shared" si="2"/>
        <v>20810</v>
      </c>
      <c r="D76" s="227">
        <f>19755+566+468+21</f>
        <v>20810</v>
      </c>
      <c r="E76" s="227"/>
      <c r="F76" s="227">
        <f>'[4]B37'!F76</f>
        <v>0</v>
      </c>
      <c r="G76" s="227">
        <f>'[4]B37'!G76</f>
        <v>0</v>
      </c>
      <c r="H76" s="227">
        <f>'[4]B37'!H76</f>
        <v>0</v>
      </c>
      <c r="I76" s="227">
        <f>'[4]B37'!I76</f>
        <v>0</v>
      </c>
      <c r="J76" s="227">
        <f>'[4]B37'!J76</f>
        <v>0</v>
      </c>
      <c r="K76" s="227">
        <f>'[4]B37'!K76</f>
        <v>0</v>
      </c>
      <c r="L76" s="227">
        <f>'[4]B37'!L76</f>
        <v>0</v>
      </c>
      <c r="M76" s="227">
        <f>'[4]B37'!M76</f>
        <v>0</v>
      </c>
      <c r="N76" s="227">
        <f>'[4]B37'!N76</f>
        <v>0</v>
      </c>
      <c r="O76" s="227">
        <f>'[4]B37'!O76</f>
        <v>0</v>
      </c>
      <c r="P76" s="227">
        <f>'[4]B37'!P76</f>
        <v>0</v>
      </c>
      <c r="Q76" s="227">
        <f>'[4]B37'!Q76</f>
        <v>0</v>
      </c>
      <c r="R76" s="227">
        <f>'[4]B37'!R76</f>
        <v>0</v>
      </c>
    </row>
    <row r="77" spans="1:18" ht="12.75">
      <c r="A77" s="278">
        <v>70</v>
      </c>
      <c r="B77" s="279" t="s">
        <v>288</v>
      </c>
      <c r="C77" s="227">
        <f t="shared" si="2"/>
        <v>11511</v>
      </c>
      <c r="D77" s="227">
        <f>11039+220+186+26+(13+8+9+10)</f>
        <v>11511</v>
      </c>
      <c r="E77" s="227"/>
      <c r="F77" s="227">
        <f>'[4]B37'!F77</f>
        <v>0</v>
      </c>
      <c r="G77" s="227">
        <f>'[4]B37'!G77</f>
        <v>0</v>
      </c>
      <c r="H77" s="227">
        <f>'[4]B37'!H77</f>
        <v>0</v>
      </c>
      <c r="I77" s="227">
        <f>'[4]B37'!I77</f>
        <v>0</v>
      </c>
      <c r="J77" s="227">
        <f>'[4]B37'!J77</f>
        <v>0</v>
      </c>
      <c r="K77" s="227">
        <f>'[4]B37'!K77</f>
        <v>0</v>
      </c>
      <c r="L77" s="227">
        <f>'[4]B37'!L77</f>
        <v>0</v>
      </c>
      <c r="M77" s="227">
        <f>'[4]B37'!M77</f>
        <v>0</v>
      </c>
      <c r="N77" s="227">
        <f>'[4]B37'!N77</f>
        <v>0</v>
      </c>
      <c r="O77" s="227">
        <f>'[4]B37'!O77</f>
        <v>0</v>
      </c>
      <c r="P77" s="227">
        <f>'[4]B37'!P77</f>
        <v>0</v>
      </c>
      <c r="Q77" s="227">
        <f>'[4]B37'!Q77</f>
        <v>0</v>
      </c>
      <c r="R77" s="227">
        <f>'[4]B37'!R77</f>
        <v>0</v>
      </c>
    </row>
    <row r="78" spans="1:18" ht="12.75">
      <c r="A78" s="278">
        <v>71</v>
      </c>
      <c r="B78" s="279" t="s">
        <v>397</v>
      </c>
      <c r="C78" s="227">
        <f t="shared" si="2"/>
        <v>8434</v>
      </c>
      <c r="D78" s="227">
        <f>7935+156+132+14+(78+50+50+19)</f>
        <v>8434</v>
      </c>
      <c r="E78" s="227"/>
      <c r="F78" s="227">
        <f>'[4]B37'!F78</f>
        <v>0</v>
      </c>
      <c r="G78" s="227">
        <f>'[4]B37'!G78</f>
        <v>0</v>
      </c>
      <c r="H78" s="227">
        <f>'[4]B37'!H78</f>
        <v>0</v>
      </c>
      <c r="I78" s="227">
        <f>'[4]B37'!I78</f>
        <v>0</v>
      </c>
      <c r="J78" s="227">
        <f>'[4]B37'!J78</f>
        <v>0</v>
      </c>
      <c r="K78" s="227">
        <f>'[4]B37'!K78</f>
        <v>0</v>
      </c>
      <c r="L78" s="227">
        <f>'[4]B37'!L78</f>
        <v>0</v>
      </c>
      <c r="M78" s="227">
        <f>'[4]B37'!M78</f>
        <v>0</v>
      </c>
      <c r="N78" s="227">
        <f>'[4]B37'!N78</f>
        <v>0</v>
      </c>
      <c r="O78" s="227">
        <f>'[4]B37'!O78</f>
        <v>0</v>
      </c>
      <c r="P78" s="227">
        <f>'[4]B37'!P78</f>
        <v>0</v>
      </c>
      <c r="Q78" s="227">
        <f>'[4]B37'!Q78</f>
        <v>0</v>
      </c>
      <c r="R78" s="227">
        <f>'[4]B37'!R78</f>
        <v>0</v>
      </c>
    </row>
    <row r="79" spans="1:18" ht="12.75">
      <c r="A79" s="278">
        <v>72</v>
      </c>
      <c r="B79" s="279" t="s">
        <v>292</v>
      </c>
      <c r="C79" s="227">
        <f t="shared" si="2"/>
        <v>18303</v>
      </c>
      <c r="D79" s="227">
        <f>17180+412+351+65+(55+58+74+108)</f>
        <v>18303</v>
      </c>
      <c r="E79" s="227"/>
      <c r="F79" s="227">
        <f>'[4]B37'!F79</f>
        <v>0</v>
      </c>
      <c r="G79" s="227">
        <f>'[4]B37'!G79</f>
        <v>0</v>
      </c>
      <c r="H79" s="227">
        <f>'[4]B37'!H79</f>
        <v>0</v>
      </c>
      <c r="I79" s="227">
        <f>'[4]B37'!I79</f>
        <v>0</v>
      </c>
      <c r="J79" s="227">
        <f>'[4]B37'!J79</f>
        <v>0</v>
      </c>
      <c r="K79" s="227">
        <f>'[4]B37'!K79</f>
        <v>0</v>
      </c>
      <c r="L79" s="227">
        <f>'[4]B37'!L79</f>
        <v>0</v>
      </c>
      <c r="M79" s="227">
        <f>'[4]B37'!M79</f>
        <v>0</v>
      </c>
      <c r="N79" s="227">
        <f>'[4]B37'!N79</f>
        <v>0</v>
      </c>
      <c r="O79" s="227">
        <f>'[4]B37'!O79</f>
        <v>0</v>
      </c>
      <c r="P79" s="227">
        <f>'[4]B37'!P79</f>
        <v>0</v>
      </c>
      <c r="Q79" s="227">
        <f>'[4]B37'!Q79</f>
        <v>0</v>
      </c>
      <c r="R79" s="227">
        <f>'[4]B37'!R79</f>
        <v>0</v>
      </c>
    </row>
    <row r="80" spans="1:18" ht="12.75">
      <c r="A80" s="278">
        <v>73</v>
      </c>
      <c r="B80" s="279" t="s">
        <v>291</v>
      </c>
      <c r="C80" s="227">
        <f t="shared" si="2"/>
        <v>13522</v>
      </c>
      <c r="D80" s="227">
        <f>12713+280+231+95+(19+39+48+97)</f>
        <v>13522</v>
      </c>
      <c r="E80" s="227"/>
      <c r="F80" s="227">
        <f>'[4]B37'!F80</f>
        <v>0</v>
      </c>
      <c r="G80" s="227">
        <f>'[4]B37'!G80</f>
        <v>0</v>
      </c>
      <c r="H80" s="227">
        <f>'[4]B37'!H80</f>
        <v>0</v>
      </c>
      <c r="I80" s="227">
        <f>'[4]B37'!I80</f>
        <v>0</v>
      </c>
      <c r="J80" s="227">
        <f>'[4]B37'!J80</f>
        <v>0</v>
      </c>
      <c r="K80" s="227">
        <f>'[4]B37'!K80</f>
        <v>0</v>
      </c>
      <c r="L80" s="227">
        <f>'[4]B37'!L80</f>
        <v>0</v>
      </c>
      <c r="M80" s="227">
        <f>'[4]B37'!M80</f>
        <v>0</v>
      </c>
      <c r="N80" s="227">
        <f>'[4]B37'!N80</f>
        <v>0</v>
      </c>
      <c r="O80" s="227">
        <f>'[4]B37'!O80</f>
        <v>0</v>
      </c>
      <c r="P80" s="227">
        <f>'[4]B37'!P80</f>
        <v>0</v>
      </c>
      <c r="Q80" s="227">
        <f>'[4]B37'!Q80</f>
        <v>0</v>
      </c>
      <c r="R80" s="227">
        <f>'[4]B37'!R80</f>
        <v>0</v>
      </c>
    </row>
    <row r="81" spans="1:18" ht="12.75">
      <c r="A81" s="278">
        <v>74</v>
      </c>
      <c r="B81" s="279" t="s">
        <v>293</v>
      </c>
      <c r="C81" s="227">
        <f t="shared" si="2"/>
        <v>6026</v>
      </c>
      <c r="D81" s="227">
        <f>5738+112+100+17+(14+15+14+16)</f>
        <v>6026</v>
      </c>
      <c r="E81" s="227"/>
      <c r="F81" s="227">
        <f>'[4]B37'!F81</f>
        <v>0</v>
      </c>
      <c r="G81" s="227">
        <f>'[4]B37'!G81</f>
        <v>0</v>
      </c>
      <c r="H81" s="227">
        <f>'[4]B37'!H81</f>
        <v>0</v>
      </c>
      <c r="I81" s="227">
        <f>'[4]B37'!I81</f>
        <v>0</v>
      </c>
      <c r="J81" s="227">
        <f>'[4]B37'!J81</f>
        <v>0</v>
      </c>
      <c r="K81" s="227">
        <f>'[4]B37'!K81</f>
        <v>0</v>
      </c>
      <c r="L81" s="227">
        <f>'[4]B37'!L81</f>
        <v>0</v>
      </c>
      <c r="M81" s="227">
        <f>'[4]B37'!M81</f>
        <v>0</v>
      </c>
      <c r="N81" s="227">
        <f>'[4]B37'!N81</f>
        <v>0</v>
      </c>
      <c r="O81" s="227">
        <f>'[4]B37'!O81</f>
        <v>0</v>
      </c>
      <c r="P81" s="227">
        <f>'[4]B37'!P81</f>
        <v>0</v>
      </c>
      <c r="Q81" s="227">
        <f>'[4]B37'!Q81</f>
        <v>0</v>
      </c>
      <c r="R81" s="227">
        <f>'[4]B37'!R81</f>
        <v>0</v>
      </c>
    </row>
    <row r="82" spans="1:18" ht="12.75">
      <c r="A82" s="278">
        <v>75</v>
      </c>
      <c r="B82" s="279" t="s">
        <v>289</v>
      </c>
      <c r="C82" s="227">
        <f t="shared" si="2"/>
        <v>11768</v>
      </c>
      <c r="D82" s="227">
        <f>11262+215+187+53+(9+16+18+8)</f>
        <v>11768</v>
      </c>
      <c r="E82" s="227"/>
      <c r="F82" s="227">
        <f>'[4]B37'!F82</f>
        <v>0</v>
      </c>
      <c r="G82" s="227">
        <f>'[4]B37'!G82</f>
        <v>0</v>
      </c>
      <c r="H82" s="227">
        <f>'[4]B37'!H82</f>
        <v>0</v>
      </c>
      <c r="I82" s="227">
        <f>'[4]B37'!I82</f>
        <v>0</v>
      </c>
      <c r="J82" s="227">
        <f>'[4]B37'!J82</f>
        <v>0</v>
      </c>
      <c r="K82" s="227">
        <f>'[4]B37'!K82</f>
        <v>0</v>
      </c>
      <c r="L82" s="227">
        <f>'[4]B37'!L82</f>
        <v>0</v>
      </c>
      <c r="M82" s="227">
        <f>'[4]B37'!M82</f>
        <v>0</v>
      </c>
      <c r="N82" s="227">
        <f>'[4]B37'!N82</f>
        <v>0</v>
      </c>
      <c r="O82" s="227">
        <f>'[4]B37'!O82</f>
        <v>0</v>
      </c>
      <c r="P82" s="227">
        <f>'[4]B37'!P82</f>
        <v>0</v>
      </c>
      <c r="Q82" s="227">
        <f>'[4]B37'!Q82</f>
        <v>0</v>
      </c>
      <c r="R82" s="227">
        <f>'[4]B37'!R82</f>
        <v>0</v>
      </c>
    </row>
    <row r="83" spans="1:18" ht="12.75">
      <c r="A83" s="278">
        <v>76</v>
      </c>
      <c r="B83" s="279" t="s">
        <v>290</v>
      </c>
      <c r="C83" s="227">
        <f t="shared" si="2"/>
        <v>13068</v>
      </c>
      <c r="D83" s="227">
        <f>12129+299+251+54+(60+90+92+93)</f>
        <v>13068</v>
      </c>
      <c r="E83" s="227"/>
      <c r="F83" s="227">
        <f>'[4]B37'!F83</f>
        <v>0</v>
      </c>
      <c r="G83" s="227">
        <f>'[4]B37'!G83</f>
        <v>0</v>
      </c>
      <c r="H83" s="227">
        <f>'[4]B37'!H83</f>
        <v>0</v>
      </c>
      <c r="I83" s="227">
        <f>'[4]B37'!I83</f>
        <v>0</v>
      </c>
      <c r="J83" s="227">
        <f>'[4]B37'!J83</f>
        <v>0</v>
      </c>
      <c r="K83" s="227">
        <f>'[4]B37'!K83</f>
        <v>0</v>
      </c>
      <c r="L83" s="227">
        <f>'[4]B37'!L83</f>
        <v>0</v>
      </c>
      <c r="M83" s="227">
        <f>'[4]B37'!M83</f>
        <v>0</v>
      </c>
      <c r="N83" s="227">
        <f>'[4]B37'!N83</f>
        <v>0</v>
      </c>
      <c r="O83" s="227">
        <f>'[4]B37'!O83</f>
        <v>0</v>
      </c>
      <c r="P83" s="227">
        <f>'[4]B37'!P83</f>
        <v>0</v>
      </c>
      <c r="Q83" s="227">
        <f>'[4]B37'!Q83</f>
        <v>0</v>
      </c>
      <c r="R83" s="227">
        <f>'[4]B37'!R83</f>
        <v>0</v>
      </c>
    </row>
    <row r="84" spans="1:18" ht="12.75">
      <c r="A84" s="278">
        <v>77</v>
      </c>
      <c r="B84" s="279" t="s">
        <v>294</v>
      </c>
      <c r="C84" s="227">
        <f t="shared" si="2"/>
        <v>12715</v>
      </c>
      <c r="D84" s="227">
        <f>12226+260+200+18+(11)</f>
        <v>12715</v>
      </c>
      <c r="E84" s="227"/>
      <c r="F84" s="227">
        <f>'[4]B37'!F84</f>
        <v>0</v>
      </c>
      <c r="G84" s="227">
        <f>'[4]B37'!G84</f>
        <v>0</v>
      </c>
      <c r="H84" s="227">
        <f>'[4]B37'!H84</f>
        <v>0</v>
      </c>
      <c r="I84" s="227">
        <f>'[4]B37'!I84</f>
        <v>0</v>
      </c>
      <c r="J84" s="227">
        <f>'[4]B37'!J84</f>
        <v>0</v>
      </c>
      <c r="K84" s="227">
        <f>'[4]B37'!K84</f>
        <v>0</v>
      </c>
      <c r="L84" s="227">
        <f>'[4]B37'!L84</f>
        <v>0</v>
      </c>
      <c r="M84" s="227">
        <f>'[4]B37'!M84</f>
        <v>0</v>
      </c>
      <c r="N84" s="227">
        <f>'[4]B37'!N84</f>
        <v>0</v>
      </c>
      <c r="O84" s="227">
        <f>'[4]B37'!O84</f>
        <v>0</v>
      </c>
      <c r="P84" s="227">
        <f>'[4]B37'!P84</f>
        <v>0</v>
      </c>
      <c r="Q84" s="227">
        <f>'[4]B37'!Q84</f>
        <v>0</v>
      </c>
      <c r="R84" s="227">
        <f>'[4]B37'!R84</f>
        <v>0</v>
      </c>
    </row>
    <row r="85" spans="1:18" ht="12.75">
      <c r="A85" s="278">
        <v>78</v>
      </c>
      <c r="B85" s="279" t="s">
        <v>295</v>
      </c>
      <c r="C85" s="227">
        <f t="shared" si="2"/>
        <v>4323</v>
      </c>
      <c r="D85" s="227">
        <f>4014+146+118+22+(8+6+9)</f>
        <v>4323</v>
      </c>
      <c r="E85" s="227"/>
      <c r="F85" s="227">
        <f>'[4]B37'!F85</f>
        <v>0</v>
      </c>
      <c r="G85" s="227">
        <f>'[4]B37'!G85</f>
        <v>0</v>
      </c>
      <c r="H85" s="227">
        <f>'[4]B37'!H85</f>
        <v>0</v>
      </c>
      <c r="I85" s="227">
        <f>'[4]B37'!I85</f>
        <v>0</v>
      </c>
      <c r="J85" s="227">
        <f>'[4]B37'!J85</f>
        <v>0</v>
      </c>
      <c r="K85" s="227">
        <f>'[4]B37'!K85</f>
        <v>0</v>
      </c>
      <c r="L85" s="227">
        <f>'[4]B37'!L85</f>
        <v>0</v>
      </c>
      <c r="M85" s="227">
        <f>'[4]B37'!M85</f>
        <v>0</v>
      </c>
      <c r="N85" s="227">
        <f>'[4]B37'!N85</f>
        <v>0</v>
      </c>
      <c r="O85" s="227">
        <f>'[4]B37'!O85</f>
        <v>0</v>
      </c>
      <c r="P85" s="227">
        <f>'[4]B37'!P85</f>
        <v>0</v>
      </c>
      <c r="Q85" s="227">
        <f>'[4]B37'!Q85</f>
        <v>0</v>
      </c>
      <c r="R85" s="227">
        <f>'[4]B37'!R85</f>
        <v>0</v>
      </c>
    </row>
    <row r="86" spans="1:18" ht="12.75">
      <c r="A86" s="278">
        <v>79</v>
      </c>
      <c r="B86" s="279" t="s">
        <v>296</v>
      </c>
      <c r="C86" s="227">
        <f t="shared" si="2"/>
        <v>4949</v>
      </c>
      <c r="D86" s="227">
        <f>'[4]B37'!D86+10+404</f>
        <v>4949</v>
      </c>
      <c r="E86" s="227"/>
      <c r="F86" s="227">
        <f>'[4]B37'!F86</f>
        <v>0</v>
      </c>
      <c r="G86" s="227">
        <f>'[4]B37'!G86</f>
        <v>0</v>
      </c>
      <c r="H86" s="227">
        <f>'[4]B37'!H86</f>
        <v>0</v>
      </c>
      <c r="I86" s="227">
        <f>'[4]B37'!I86</f>
        <v>0</v>
      </c>
      <c r="J86" s="227">
        <f>'[4]B37'!J86</f>
        <v>0</v>
      </c>
      <c r="K86" s="227">
        <f>'[4]B37'!K86</f>
        <v>0</v>
      </c>
      <c r="L86" s="227">
        <f>'[4]B37'!L86</f>
        <v>0</v>
      </c>
      <c r="M86" s="227">
        <f>'[4]B37'!M86</f>
        <v>0</v>
      </c>
      <c r="N86" s="227">
        <f>'[4]B37'!N86</f>
        <v>0</v>
      </c>
      <c r="O86" s="227">
        <f>'[4]B37'!O86</f>
        <v>0</v>
      </c>
      <c r="P86" s="227">
        <f>'[4]B37'!P86</f>
        <v>0</v>
      </c>
      <c r="Q86" s="227">
        <f>'[4]B37'!Q86</f>
        <v>0</v>
      </c>
      <c r="R86" s="227">
        <f>'[4]B37'!R86</f>
        <v>0</v>
      </c>
    </row>
    <row r="87" spans="1:18" ht="12.75">
      <c r="A87" s="278">
        <v>80</v>
      </c>
      <c r="B87" s="279" t="s">
        <v>298</v>
      </c>
      <c r="C87" s="227">
        <f t="shared" si="2"/>
        <v>6526</v>
      </c>
      <c r="D87" s="227">
        <f>'[4]B37'!D89+46+(5)</f>
        <v>6526</v>
      </c>
      <c r="E87" s="227"/>
      <c r="F87" s="227">
        <f>'[4]B37'!F89</f>
        <v>0</v>
      </c>
      <c r="G87" s="227">
        <f>'[4]B37'!G89</f>
        <v>0</v>
      </c>
      <c r="H87" s="227">
        <f>'[4]B37'!H89</f>
        <v>0</v>
      </c>
      <c r="I87" s="227">
        <f>'[4]B37'!I89</f>
        <v>0</v>
      </c>
      <c r="J87" s="227">
        <f>'[4]B37'!J89</f>
        <v>0</v>
      </c>
      <c r="K87" s="227">
        <f>'[4]B37'!K89</f>
        <v>0</v>
      </c>
      <c r="L87" s="227">
        <f>'[4]B37'!L89</f>
        <v>0</v>
      </c>
      <c r="M87" s="227">
        <f>'[4]B37'!M89</f>
        <v>0</v>
      </c>
      <c r="N87" s="227">
        <f>'[4]B37'!N89</f>
        <v>0</v>
      </c>
      <c r="O87" s="227">
        <f>'[4]B37'!O89</f>
        <v>0</v>
      </c>
      <c r="P87" s="227">
        <f>'[4]B37'!P89</f>
        <v>0</v>
      </c>
      <c r="Q87" s="227">
        <f>'[4]B37'!Q89</f>
        <v>0</v>
      </c>
      <c r="R87" s="227">
        <f>'[4]B37'!R89</f>
        <v>0</v>
      </c>
    </row>
    <row r="88" spans="1:18" ht="12.75">
      <c r="A88" s="278">
        <v>81</v>
      </c>
      <c r="B88" s="279" t="s">
        <v>233</v>
      </c>
      <c r="C88" s="227">
        <f t="shared" si="2"/>
        <v>264</v>
      </c>
      <c r="D88" s="227"/>
      <c r="E88" s="227"/>
      <c r="F88" s="227">
        <f>'[4]B37'!F90</f>
        <v>0</v>
      </c>
      <c r="G88" s="227">
        <f>'[4]B37'!G90</f>
        <v>0</v>
      </c>
      <c r="H88" s="227">
        <f>'[4]B37'!H90</f>
        <v>0</v>
      </c>
      <c r="I88" s="227">
        <f>'[4]B37'!I90</f>
        <v>0</v>
      </c>
      <c r="J88" s="227">
        <f>'[4]B37'!J90</f>
        <v>0</v>
      </c>
      <c r="K88" s="227">
        <f>'[4]B37'!K90</f>
        <v>0</v>
      </c>
      <c r="L88" s="227">
        <f>'[4]B37'!L90</f>
        <v>0</v>
      </c>
      <c r="M88" s="227">
        <f>'[4]B37'!M90</f>
        <v>0</v>
      </c>
      <c r="N88" s="227">
        <f>'[4]B37'!N90</f>
        <v>0</v>
      </c>
      <c r="O88" s="227">
        <f>'[4]B37'!O90</f>
        <v>0</v>
      </c>
      <c r="P88" s="227">
        <f>'[4]B37'!P90+6+36</f>
        <v>264</v>
      </c>
      <c r="Q88" s="227">
        <f>'[4]B37'!Q90</f>
        <v>0</v>
      </c>
      <c r="R88" s="227">
        <f>'[4]B37'!R90</f>
        <v>0</v>
      </c>
    </row>
    <row r="89" spans="1:18" ht="12.75">
      <c r="A89" s="278">
        <v>82</v>
      </c>
      <c r="B89" s="279" t="s">
        <v>234</v>
      </c>
      <c r="C89" s="227">
        <f t="shared" si="2"/>
        <v>62</v>
      </c>
      <c r="D89" s="227">
        <f>'[4]B37'!D91</f>
        <v>0</v>
      </c>
      <c r="E89" s="227"/>
      <c r="F89" s="227">
        <f>'[4]B37'!F91</f>
        <v>0</v>
      </c>
      <c r="G89" s="227">
        <f>'[4]B37'!G91</f>
        <v>0</v>
      </c>
      <c r="H89" s="227">
        <f>'[4]B37'!H91</f>
        <v>0</v>
      </c>
      <c r="I89" s="227">
        <f>'[4]B37'!I91</f>
        <v>0</v>
      </c>
      <c r="J89" s="227">
        <f>'[4]B37'!J91</f>
        <v>0</v>
      </c>
      <c r="K89" s="227">
        <f>'[4]B37'!K91</f>
        <v>0</v>
      </c>
      <c r="L89" s="227">
        <f>'[4]B37'!L91</f>
        <v>0</v>
      </c>
      <c r="M89" s="227">
        <f>'[4]B37'!M91</f>
        <v>0</v>
      </c>
      <c r="N89" s="227">
        <f>'[4]B37'!N91</f>
        <v>0</v>
      </c>
      <c r="O89" s="227">
        <f>'[4]B37'!O91</f>
        <v>0</v>
      </c>
      <c r="P89" s="227">
        <f>'[4]B37'!P91+2</f>
        <v>62</v>
      </c>
      <c r="Q89" s="227">
        <f>'[4]B37'!Q91</f>
        <v>0</v>
      </c>
      <c r="R89" s="227">
        <f>'[4]B37'!R91</f>
        <v>0</v>
      </c>
    </row>
    <row r="90" spans="1:18" ht="12.75">
      <c r="A90" s="278">
        <v>83</v>
      </c>
      <c r="B90" s="279" t="s">
        <v>235</v>
      </c>
      <c r="C90" s="227">
        <f t="shared" si="2"/>
        <v>259</v>
      </c>
      <c r="D90" s="227">
        <f>'[4]B37'!D92</f>
        <v>0</v>
      </c>
      <c r="E90" s="227"/>
      <c r="F90" s="227">
        <f>'[4]B37'!F92</f>
        <v>0</v>
      </c>
      <c r="G90" s="227">
        <f>'[4]B37'!G92</f>
        <v>0</v>
      </c>
      <c r="H90" s="227">
        <f>'[4]B37'!H92</f>
        <v>0</v>
      </c>
      <c r="I90" s="227">
        <f>'[4]B37'!I92</f>
        <v>0</v>
      </c>
      <c r="J90" s="227">
        <f>'[4]B37'!J92</f>
        <v>0</v>
      </c>
      <c r="K90" s="227">
        <f>'[4]B37'!K92</f>
        <v>0</v>
      </c>
      <c r="L90" s="227">
        <f>'[4]B37'!L92</f>
        <v>0</v>
      </c>
      <c r="M90" s="227">
        <f>'[4]B37'!M92</f>
        <v>0</v>
      </c>
      <c r="N90" s="227">
        <f>'[4]B37'!N92</f>
        <v>0</v>
      </c>
      <c r="O90" s="227">
        <f>'[4]B37'!O92</f>
        <v>0</v>
      </c>
      <c r="P90" s="227">
        <f>'[4]B37'!P92+6</f>
        <v>259</v>
      </c>
      <c r="Q90" s="227">
        <f>'[4]B37'!Q92</f>
        <v>0</v>
      </c>
      <c r="R90" s="227">
        <f>'[4]B37'!R92</f>
        <v>0</v>
      </c>
    </row>
    <row r="91" spans="1:18" ht="12.75">
      <c r="A91" s="278">
        <v>84</v>
      </c>
      <c r="B91" s="279" t="s">
        <v>236</v>
      </c>
      <c r="C91" s="227">
        <f t="shared" si="2"/>
        <v>181</v>
      </c>
      <c r="D91" s="227">
        <f>'[4]B37'!D93</f>
        <v>0</v>
      </c>
      <c r="E91" s="227"/>
      <c r="F91" s="227">
        <f>'[4]B37'!F93</f>
        <v>0</v>
      </c>
      <c r="G91" s="227">
        <f>'[4]B37'!G93</f>
        <v>0</v>
      </c>
      <c r="H91" s="227">
        <f>'[4]B37'!H93</f>
        <v>0</v>
      </c>
      <c r="I91" s="227">
        <f>'[4]B37'!I93</f>
        <v>0</v>
      </c>
      <c r="J91" s="227">
        <f>'[4]B37'!J93</f>
        <v>0</v>
      </c>
      <c r="K91" s="227">
        <f>'[4]B37'!K93</f>
        <v>0</v>
      </c>
      <c r="L91" s="227">
        <f>'[4]B37'!L93</f>
        <v>0</v>
      </c>
      <c r="M91" s="227">
        <f>'[4]B37'!M93</f>
        <v>0</v>
      </c>
      <c r="N91" s="227">
        <f>'[4]B37'!N93</f>
        <v>0</v>
      </c>
      <c r="O91" s="227">
        <f>'[4]B37'!O93</f>
        <v>0</v>
      </c>
      <c r="P91" s="227">
        <f>'[4]B37'!P93+6+7</f>
        <v>181</v>
      </c>
      <c r="Q91" s="227">
        <f>'[4]B37'!Q93</f>
        <v>0</v>
      </c>
      <c r="R91" s="227">
        <f>'[4]B37'!R93</f>
        <v>0</v>
      </c>
    </row>
    <row r="92" spans="1:18" ht="12.75">
      <c r="A92" s="278">
        <v>85</v>
      </c>
      <c r="B92" s="279" t="s">
        <v>237</v>
      </c>
      <c r="C92" s="227">
        <f t="shared" si="2"/>
        <v>73</v>
      </c>
      <c r="D92" s="227">
        <f>'[4]B37'!D94</f>
        <v>0</v>
      </c>
      <c r="E92" s="227"/>
      <c r="F92" s="227">
        <f>'[4]B37'!F94</f>
        <v>0</v>
      </c>
      <c r="G92" s="227">
        <f>'[4]B37'!G94</f>
        <v>0</v>
      </c>
      <c r="H92" s="227">
        <f>'[4]B37'!H94</f>
        <v>0</v>
      </c>
      <c r="I92" s="227">
        <f>'[4]B37'!I94</f>
        <v>0</v>
      </c>
      <c r="J92" s="227">
        <f>'[4]B37'!J94</f>
        <v>0</v>
      </c>
      <c r="K92" s="227">
        <f>'[4]B37'!K94</f>
        <v>0</v>
      </c>
      <c r="L92" s="227">
        <f>'[4]B37'!L94</f>
        <v>0</v>
      </c>
      <c r="M92" s="227">
        <f>'[4]B37'!M94</f>
        <v>0</v>
      </c>
      <c r="N92" s="227">
        <f>'[4]B37'!N94</f>
        <v>0</v>
      </c>
      <c r="O92" s="227">
        <f>'[4]B37'!O94</f>
        <v>0</v>
      </c>
      <c r="P92" s="227">
        <f>'[4]B37'!P94+2</f>
        <v>73</v>
      </c>
      <c r="Q92" s="227">
        <f>'[4]B37'!Q94</f>
        <v>0</v>
      </c>
      <c r="R92" s="227">
        <f>'[4]B37'!R94</f>
        <v>0</v>
      </c>
    </row>
    <row r="93" spans="1:18" ht="12.75">
      <c r="A93" s="278">
        <v>86</v>
      </c>
      <c r="B93" s="279" t="s">
        <v>238</v>
      </c>
      <c r="C93" s="227">
        <f t="shared" si="2"/>
        <v>41</v>
      </c>
      <c r="D93" s="227">
        <f>'[4]B37'!D95</f>
        <v>0</v>
      </c>
      <c r="E93" s="227"/>
      <c r="F93" s="227">
        <f>'[4]B37'!F95</f>
        <v>0</v>
      </c>
      <c r="G93" s="227">
        <f>'[4]B37'!G95</f>
        <v>0</v>
      </c>
      <c r="H93" s="227">
        <f>'[4]B37'!H95</f>
        <v>0</v>
      </c>
      <c r="I93" s="227">
        <f>'[4]B37'!I95</f>
        <v>0</v>
      </c>
      <c r="J93" s="227">
        <f>'[4]B37'!J95</f>
        <v>0</v>
      </c>
      <c r="K93" s="227">
        <f>'[4]B37'!K95</f>
        <v>0</v>
      </c>
      <c r="L93" s="227">
        <f>'[4]B37'!L95</f>
        <v>0</v>
      </c>
      <c r="M93" s="227">
        <f>'[4]B37'!M95</f>
        <v>0</v>
      </c>
      <c r="N93" s="227">
        <f>'[4]B37'!N95</f>
        <v>0</v>
      </c>
      <c r="O93" s="227">
        <f>'[4]B37'!O95</f>
        <v>0</v>
      </c>
      <c r="P93" s="227">
        <f>'[4]B37'!P95</f>
        <v>41</v>
      </c>
      <c r="Q93" s="227">
        <f>'[4]B37'!Q95</f>
        <v>0</v>
      </c>
      <c r="R93" s="227">
        <f>'[4]B37'!R95</f>
        <v>0</v>
      </c>
    </row>
    <row r="94" spans="1:18" ht="12.75">
      <c r="A94" s="278">
        <v>87</v>
      </c>
      <c r="B94" s="279" t="s">
        <v>239</v>
      </c>
      <c r="C94" s="227">
        <f t="shared" si="2"/>
        <v>17205</v>
      </c>
      <c r="D94" s="227">
        <f>'[4]B37'!D96</f>
        <v>0</v>
      </c>
      <c r="E94" s="227"/>
      <c r="F94" s="227">
        <f>'[4]B37'!F96</f>
        <v>0</v>
      </c>
      <c r="G94" s="227">
        <f>'[4]B37'!G96</f>
        <v>0</v>
      </c>
      <c r="H94" s="227">
        <f>'[4]B37'!H96</f>
        <v>15630</v>
      </c>
      <c r="I94" s="227">
        <f>'[4]B37'!I96</f>
        <v>0</v>
      </c>
      <c r="J94" s="227">
        <f>'[4]B37'!J96</f>
        <v>0</v>
      </c>
      <c r="K94" s="227">
        <f>'[4]B37'!K96</f>
        <v>0</v>
      </c>
      <c r="L94" s="227">
        <f>'[4]B37'!L96</f>
        <v>0</v>
      </c>
      <c r="M94" s="227">
        <f>'[4]B37'!M96</f>
        <v>0</v>
      </c>
      <c r="N94" s="227">
        <f>'[4]B37'!N96</f>
        <v>0</v>
      </c>
      <c r="O94" s="227">
        <f>'[4]B37'!O96</f>
        <v>0</v>
      </c>
      <c r="P94" s="227">
        <f>'[4]B37'!P96</f>
        <v>0</v>
      </c>
      <c r="Q94" s="227">
        <f>'[4]B37'!Q96</f>
        <v>1537</v>
      </c>
      <c r="R94" s="227">
        <f>'[4]B37'!R96+38</f>
        <v>38</v>
      </c>
    </row>
    <row r="95" spans="1:18" ht="12.75">
      <c r="A95" s="278">
        <v>88</v>
      </c>
      <c r="B95" s="279" t="s">
        <v>240</v>
      </c>
      <c r="C95" s="227">
        <f t="shared" si="2"/>
        <v>1299</v>
      </c>
      <c r="D95" s="227">
        <f>'[4]B37'!D97</f>
        <v>0</v>
      </c>
      <c r="E95" s="227"/>
      <c r="F95" s="227">
        <f>'[4]B37'!F97</f>
        <v>0</v>
      </c>
      <c r="G95" s="227">
        <f>'[4]B37'!G97</f>
        <v>0</v>
      </c>
      <c r="H95" s="227">
        <f>'[4]B37'!H97</f>
        <v>0</v>
      </c>
      <c r="I95" s="227">
        <f>'[4]B37'!I97</f>
        <v>0</v>
      </c>
      <c r="J95" s="227">
        <f>'[4]B37'!J97</f>
        <v>0</v>
      </c>
      <c r="K95" s="227">
        <f>'[4]B37'!K97</f>
        <v>0</v>
      </c>
      <c r="L95" s="227">
        <f>'[4]B37'!L97</f>
        <v>0</v>
      </c>
      <c r="M95" s="227">
        <f>'[4]B37'!M97</f>
        <v>0</v>
      </c>
      <c r="N95" s="227">
        <f>'[4]B37'!N97</f>
        <v>0</v>
      </c>
      <c r="O95" s="227">
        <f>'[4]B37'!O97</f>
        <v>0</v>
      </c>
      <c r="P95" s="227">
        <f>'[4]B37'!P97</f>
        <v>0</v>
      </c>
      <c r="Q95" s="227">
        <f>'[4]B37'!Q97</f>
        <v>0</v>
      </c>
      <c r="R95" s="227">
        <f>'[4]B37'!R97+60+483</f>
        <v>1299</v>
      </c>
    </row>
    <row r="96" spans="1:18" ht="12.75">
      <c r="A96" s="278">
        <v>89</v>
      </c>
      <c r="B96" s="279" t="s">
        <v>241</v>
      </c>
      <c r="C96" s="227">
        <f t="shared" si="2"/>
        <v>564</v>
      </c>
      <c r="D96" s="227">
        <f>'[4]B37'!D98</f>
        <v>0</v>
      </c>
      <c r="E96" s="227"/>
      <c r="F96" s="227">
        <f>'[4]B37'!F98</f>
        <v>0</v>
      </c>
      <c r="G96" s="227">
        <f>'[4]B37'!G98</f>
        <v>0</v>
      </c>
      <c r="H96" s="227">
        <f>'[4]B37'!H98</f>
        <v>0</v>
      </c>
      <c r="I96" s="227">
        <f>'[4]B37'!I98</f>
        <v>0</v>
      </c>
      <c r="J96" s="227">
        <f>'[4]B37'!J98</f>
        <v>0</v>
      </c>
      <c r="K96" s="227">
        <f>'[4]B37'!K98</f>
        <v>0</v>
      </c>
      <c r="L96" s="227">
        <f>'[4]B37'!L98</f>
        <v>0</v>
      </c>
      <c r="M96" s="227">
        <f>'[4]B37'!M98</f>
        <v>0</v>
      </c>
      <c r="N96" s="227">
        <f>'[4]B37'!N98</f>
        <v>0</v>
      </c>
      <c r="O96" s="227">
        <f>'[4]B37'!O98</f>
        <v>0</v>
      </c>
      <c r="P96" s="227">
        <f>'[4]B37'!P98</f>
        <v>0</v>
      </c>
      <c r="Q96" s="227">
        <f>'[4]B37'!Q98</f>
        <v>0</v>
      </c>
      <c r="R96" s="227">
        <f>'[4]B37'!R98+39+3</f>
        <v>564</v>
      </c>
    </row>
    <row r="97" spans="1:18" ht="12.75">
      <c r="A97" s="278">
        <v>90</v>
      </c>
      <c r="B97" s="279" t="s">
        <v>242</v>
      </c>
      <c r="C97" s="227">
        <f t="shared" si="2"/>
        <v>570</v>
      </c>
      <c r="D97" s="227">
        <f>'[4]B37'!D99</f>
        <v>0</v>
      </c>
      <c r="E97" s="227"/>
      <c r="F97" s="227">
        <f>'[4]B37'!F99</f>
        <v>0</v>
      </c>
      <c r="G97" s="227">
        <f>'[4]B37'!G99</f>
        <v>0</v>
      </c>
      <c r="H97" s="227">
        <f>'[4]B37'!H99</f>
        <v>0</v>
      </c>
      <c r="I97" s="227">
        <f>'[4]B37'!I99</f>
        <v>0</v>
      </c>
      <c r="J97" s="227">
        <f>'[4]B37'!J99</f>
        <v>0</v>
      </c>
      <c r="K97" s="227">
        <f>'[4]B37'!K99</f>
        <v>0</v>
      </c>
      <c r="L97" s="227">
        <f>'[4]B37'!L99</f>
        <v>0</v>
      </c>
      <c r="M97" s="227">
        <f>'[4]B37'!M99</f>
        <v>0</v>
      </c>
      <c r="N97" s="227">
        <f>'[4]B37'!N99</f>
        <v>0</v>
      </c>
      <c r="O97" s="227">
        <f>'[4]B37'!O99</f>
        <v>0</v>
      </c>
      <c r="P97" s="227">
        <f>'[4]B37'!P99</f>
        <v>0</v>
      </c>
      <c r="Q97" s="227">
        <f>'[4]B37'!Q99</f>
        <v>0</v>
      </c>
      <c r="R97" s="227">
        <f>'[4]B37'!R99+48</f>
        <v>570</v>
      </c>
    </row>
    <row r="98" spans="1:18" ht="12.75">
      <c r="A98" s="278">
        <v>91</v>
      </c>
      <c r="B98" s="279" t="s">
        <v>243</v>
      </c>
      <c r="C98" s="227">
        <f t="shared" si="2"/>
        <v>92</v>
      </c>
      <c r="D98" s="227">
        <f>'[4]B37'!D100</f>
        <v>0</v>
      </c>
      <c r="E98" s="227"/>
      <c r="F98" s="227">
        <f>'[4]B37'!F100</f>
        <v>0</v>
      </c>
      <c r="G98" s="227">
        <f>'[4]B37'!G100</f>
        <v>0</v>
      </c>
      <c r="H98" s="227">
        <f>'[4]B37'!H100</f>
        <v>0</v>
      </c>
      <c r="I98" s="227">
        <f>'[4]B37'!I100</f>
        <v>0</v>
      </c>
      <c r="J98" s="227">
        <f>'[4]B37'!J100</f>
        <v>0</v>
      </c>
      <c r="K98" s="227">
        <f>'[4]B37'!K100</f>
        <v>0</v>
      </c>
      <c r="L98" s="227">
        <f>'[4]B37'!L100</f>
        <v>0</v>
      </c>
      <c r="M98" s="227">
        <f>'[4]B37'!M100</f>
        <v>0</v>
      </c>
      <c r="N98" s="227">
        <f>'[4]B37'!N100</f>
        <v>0</v>
      </c>
      <c r="O98" s="227">
        <f>'[4]B37'!O100</f>
        <v>0</v>
      </c>
      <c r="P98" s="227">
        <f>'[4]B37'!P100</f>
        <v>0</v>
      </c>
      <c r="Q98" s="227">
        <f>'[4]B37'!Q100</f>
        <v>0</v>
      </c>
      <c r="R98" s="227">
        <f>'[4]B37'!R100+7</f>
        <v>92</v>
      </c>
    </row>
    <row r="99" spans="1:18" ht="12.75" hidden="1">
      <c r="A99" s="278"/>
      <c r="B99" s="279" t="s">
        <v>266</v>
      </c>
      <c r="C99" s="227">
        <f t="shared" si="2"/>
        <v>0</v>
      </c>
      <c r="D99" s="227"/>
      <c r="E99" s="227"/>
      <c r="F99" s="227"/>
      <c r="G99" s="227"/>
      <c r="H99" s="227"/>
      <c r="I99" s="227"/>
      <c r="J99" s="227"/>
      <c r="K99" s="227"/>
      <c r="L99" s="227"/>
      <c r="M99" s="227"/>
      <c r="N99" s="227"/>
      <c r="O99" s="227"/>
      <c r="P99" s="227"/>
      <c r="Q99" s="227"/>
      <c r="R99" s="227"/>
    </row>
    <row r="100" spans="1:18" ht="12.75">
      <c r="A100" s="278">
        <v>92</v>
      </c>
      <c r="B100" s="279" t="s">
        <v>245</v>
      </c>
      <c r="C100" s="227">
        <f t="shared" si="2"/>
        <v>216</v>
      </c>
      <c r="D100" s="227"/>
      <c r="E100" s="227"/>
      <c r="F100" s="227"/>
      <c r="G100" s="227"/>
      <c r="H100" s="227"/>
      <c r="I100" s="227"/>
      <c r="J100" s="227"/>
      <c r="K100" s="227"/>
      <c r="L100" s="227"/>
      <c r="M100" s="227"/>
      <c r="N100" s="227"/>
      <c r="O100" s="227"/>
      <c r="P100" s="227"/>
      <c r="Q100" s="227"/>
      <c r="R100" s="227">
        <f>36+50+130</f>
        <v>216</v>
      </c>
    </row>
    <row r="101" spans="1:18" ht="12.75">
      <c r="A101" s="278">
        <v>93</v>
      </c>
      <c r="B101" s="279" t="s">
        <v>443</v>
      </c>
      <c r="C101" s="227">
        <f t="shared" si="2"/>
        <v>366</v>
      </c>
      <c r="D101" s="227"/>
      <c r="E101" s="227"/>
      <c r="F101" s="227"/>
      <c r="G101" s="227"/>
      <c r="H101" s="227"/>
      <c r="I101" s="227"/>
      <c r="J101" s="227"/>
      <c r="K101" s="227"/>
      <c r="L101" s="227"/>
      <c r="M101" s="227"/>
      <c r="N101" s="227"/>
      <c r="O101" s="227"/>
      <c r="P101" s="227"/>
      <c r="Q101" s="227"/>
      <c r="R101" s="227">
        <f>70+296</f>
        <v>366</v>
      </c>
    </row>
    <row r="102" spans="1:18" ht="12.75">
      <c r="A102" s="341">
        <v>94</v>
      </c>
      <c r="B102" s="280" t="s">
        <v>247</v>
      </c>
      <c r="C102" s="281">
        <f t="shared" si="2"/>
        <v>672</v>
      </c>
      <c r="D102" s="281"/>
      <c r="E102" s="281"/>
      <c r="F102" s="281"/>
      <c r="G102" s="281"/>
      <c r="H102" s="281"/>
      <c r="I102" s="281"/>
      <c r="J102" s="281"/>
      <c r="K102" s="281"/>
      <c r="L102" s="281"/>
      <c r="M102" s="281"/>
      <c r="N102" s="281"/>
      <c r="O102" s="281"/>
      <c r="P102" s="281"/>
      <c r="Q102" s="281"/>
      <c r="R102" s="281">
        <f>147+525</f>
        <v>672</v>
      </c>
    </row>
    <row r="103" spans="1:18" ht="12.75">
      <c r="A103" s="278">
        <v>95</v>
      </c>
      <c r="B103" s="279" t="s">
        <v>248</v>
      </c>
      <c r="C103" s="227">
        <f t="shared" si="2"/>
        <v>5</v>
      </c>
      <c r="D103" s="227"/>
      <c r="E103" s="227"/>
      <c r="F103" s="227"/>
      <c r="G103" s="227"/>
      <c r="H103" s="227"/>
      <c r="I103" s="227"/>
      <c r="J103" s="227"/>
      <c r="K103" s="227"/>
      <c r="L103" s="227"/>
      <c r="M103" s="227"/>
      <c r="N103" s="227"/>
      <c r="O103" s="227"/>
      <c r="P103" s="227"/>
      <c r="Q103" s="227">
        <v>5</v>
      </c>
      <c r="R103" s="227"/>
    </row>
    <row r="104" spans="1:18" ht="12.75">
      <c r="A104" s="278">
        <v>96</v>
      </c>
      <c r="B104" s="279" t="s">
        <v>252</v>
      </c>
      <c r="C104" s="227">
        <f t="shared" si="2"/>
        <v>9</v>
      </c>
      <c r="D104" s="227"/>
      <c r="E104" s="227"/>
      <c r="F104" s="227"/>
      <c r="G104" s="227"/>
      <c r="H104" s="227"/>
      <c r="I104" s="227"/>
      <c r="J104" s="227"/>
      <c r="K104" s="227"/>
      <c r="L104" s="227"/>
      <c r="M104" s="227"/>
      <c r="N104" s="227"/>
      <c r="O104" s="227"/>
      <c r="P104" s="227"/>
      <c r="Q104" s="227">
        <v>9</v>
      </c>
      <c r="R104" s="227"/>
    </row>
    <row r="105" spans="1:18" ht="12.75">
      <c r="A105" s="341">
        <v>97</v>
      </c>
      <c r="B105" s="280" t="s">
        <v>253</v>
      </c>
      <c r="C105" s="281">
        <f t="shared" si="2"/>
        <v>8</v>
      </c>
      <c r="D105" s="281"/>
      <c r="E105" s="281"/>
      <c r="F105" s="281"/>
      <c r="G105" s="281"/>
      <c r="H105" s="281"/>
      <c r="I105" s="281"/>
      <c r="J105" s="281"/>
      <c r="K105" s="281"/>
      <c r="L105" s="281"/>
      <c r="M105" s="281"/>
      <c r="N105" s="281"/>
      <c r="O105" s="281"/>
      <c r="P105" s="281"/>
      <c r="Q105" s="281">
        <v>8</v>
      </c>
      <c r="R105" s="281"/>
    </row>
    <row r="106" spans="1:18" ht="12.75">
      <c r="A106" s="278">
        <v>98</v>
      </c>
      <c r="B106" s="279" t="s">
        <v>254</v>
      </c>
      <c r="C106" s="227">
        <f t="shared" si="2"/>
        <v>23</v>
      </c>
      <c r="D106" s="227"/>
      <c r="E106" s="227"/>
      <c r="F106" s="227"/>
      <c r="G106" s="227"/>
      <c r="H106" s="227"/>
      <c r="I106" s="227"/>
      <c r="J106" s="227"/>
      <c r="K106" s="227"/>
      <c r="L106" s="227"/>
      <c r="M106" s="227"/>
      <c r="N106" s="227"/>
      <c r="O106" s="227"/>
      <c r="P106" s="227"/>
      <c r="Q106" s="227">
        <v>23</v>
      </c>
      <c r="R106" s="227"/>
    </row>
    <row r="107" spans="1:18" ht="12.75">
      <c r="A107" s="278">
        <v>99</v>
      </c>
      <c r="B107" s="279" t="s">
        <v>255</v>
      </c>
      <c r="C107" s="227">
        <f t="shared" si="2"/>
        <v>30</v>
      </c>
      <c r="D107" s="227"/>
      <c r="E107" s="227"/>
      <c r="F107" s="227"/>
      <c r="G107" s="227"/>
      <c r="H107" s="227"/>
      <c r="I107" s="227"/>
      <c r="J107" s="227"/>
      <c r="K107" s="227"/>
      <c r="L107" s="227"/>
      <c r="M107" s="227"/>
      <c r="N107" s="227"/>
      <c r="O107" s="227"/>
      <c r="P107" s="227"/>
      <c r="Q107" s="227">
        <v>30</v>
      </c>
      <c r="R107" s="227"/>
    </row>
    <row r="108" spans="1:18" ht="12.75">
      <c r="A108" s="278">
        <v>100</v>
      </c>
      <c r="B108" s="279" t="s">
        <v>249</v>
      </c>
      <c r="C108" s="227">
        <f t="shared" si="2"/>
        <v>19</v>
      </c>
      <c r="D108" s="227"/>
      <c r="E108" s="227"/>
      <c r="F108" s="227"/>
      <c r="G108" s="227"/>
      <c r="H108" s="227"/>
      <c r="I108" s="227"/>
      <c r="J108" s="227"/>
      <c r="K108" s="227"/>
      <c r="L108" s="227"/>
      <c r="M108" s="227"/>
      <c r="N108" s="227"/>
      <c r="O108" s="227"/>
      <c r="P108" s="227"/>
      <c r="Q108" s="227">
        <v>19</v>
      </c>
      <c r="R108" s="227"/>
    </row>
    <row r="109" spans="1:18" ht="12.75">
      <c r="A109" s="278">
        <v>101</v>
      </c>
      <c r="B109" s="279" t="s">
        <v>250</v>
      </c>
      <c r="C109" s="227">
        <f t="shared" si="2"/>
        <v>30</v>
      </c>
      <c r="D109" s="227"/>
      <c r="E109" s="227"/>
      <c r="F109" s="227"/>
      <c r="G109" s="227"/>
      <c r="H109" s="227"/>
      <c r="I109" s="227"/>
      <c r="J109" s="227"/>
      <c r="K109" s="227"/>
      <c r="L109" s="227"/>
      <c r="M109" s="227"/>
      <c r="N109" s="227"/>
      <c r="O109" s="227"/>
      <c r="P109" s="227"/>
      <c r="Q109" s="227">
        <v>30</v>
      </c>
      <c r="R109" s="227"/>
    </row>
    <row r="110" spans="1:18" ht="12.75">
      <c r="A110" s="278">
        <v>102</v>
      </c>
      <c r="B110" s="279" t="s">
        <v>256</v>
      </c>
      <c r="C110" s="227">
        <f t="shared" si="2"/>
        <v>9</v>
      </c>
      <c r="D110" s="227"/>
      <c r="E110" s="227"/>
      <c r="F110" s="227"/>
      <c r="G110" s="227"/>
      <c r="H110" s="227"/>
      <c r="I110" s="227"/>
      <c r="J110" s="227"/>
      <c r="K110" s="227"/>
      <c r="L110" s="227"/>
      <c r="M110" s="227"/>
      <c r="N110" s="227"/>
      <c r="O110" s="227"/>
      <c r="P110" s="227"/>
      <c r="Q110" s="227">
        <v>9</v>
      </c>
      <c r="R110" s="227"/>
    </row>
    <row r="111" spans="1:18" ht="12.75">
      <c r="A111" s="278">
        <v>103</v>
      </c>
      <c r="B111" s="279" t="s">
        <v>257</v>
      </c>
      <c r="C111" s="227">
        <f t="shared" si="2"/>
        <v>7</v>
      </c>
      <c r="D111" s="227"/>
      <c r="E111" s="227"/>
      <c r="F111" s="227"/>
      <c r="G111" s="227"/>
      <c r="H111" s="227"/>
      <c r="I111" s="227"/>
      <c r="J111" s="227"/>
      <c r="K111" s="227"/>
      <c r="L111" s="227"/>
      <c r="M111" s="227"/>
      <c r="N111" s="227"/>
      <c r="O111" s="227"/>
      <c r="P111" s="227"/>
      <c r="Q111" s="227">
        <v>7</v>
      </c>
      <c r="R111" s="227"/>
    </row>
    <row r="112" spans="1:18" ht="12.75">
      <c r="A112" s="278">
        <v>104</v>
      </c>
      <c r="B112" s="279" t="s">
        <v>258</v>
      </c>
      <c r="C112" s="227">
        <f t="shared" si="2"/>
        <v>13</v>
      </c>
      <c r="D112" s="227"/>
      <c r="E112" s="227"/>
      <c r="F112" s="227"/>
      <c r="G112" s="227"/>
      <c r="H112" s="227"/>
      <c r="I112" s="227"/>
      <c r="J112" s="227"/>
      <c r="K112" s="227"/>
      <c r="L112" s="227"/>
      <c r="M112" s="227"/>
      <c r="N112" s="227"/>
      <c r="O112" s="227"/>
      <c r="P112" s="227"/>
      <c r="Q112" s="227">
        <v>13</v>
      </c>
      <c r="R112" s="227"/>
    </row>
    <row r="113" spans="1:18" ht="12.75">
      <c r="A113" s="278">
        <v>105</v>
      </c>
      <c r="B113" s="279" t="s">
        <v>259</v>
      </c>
      <c r="C113" s="227">
        <f t="shared" si="2"/>
        <v>14</v>
      </c>
      <c r="D113" s="227"/>
      <c r="E113" s="227"/>
      <c r="F113" s="227"/>
      <c r="G113" s="227"/>
      <c r="H113" s="227"/>
      <c r="I113" s="227"/>
      <c r="J113" s="227"/>
      <c r="K113" s="227"/>
      <c r="L113" s="227"/>
      <c r="M113" s="227"/>
      <c r="N113" s="227"/>
      <c r="O113" s="227"/>
      <c r="P113" s="227"/>
      <c r="Q113" s="227">
        <v>14</v>
      </c>
      <c r="R113" s="227"/>
    </row>
    <row r="114" spans="1:18" ht="12.75">
      <c r="A114" s="278">
        <v>106</v>
      </c>
      <c r="B114" s="279" t="s">
        <v>260</v>
      </c>
      <c r="C114" s="227">
        <f t="shared" si="2"/>
        <v>38</v>
      </c>
      <c r="D114" s="227"/>
      <c r="E114" s="227"/>
      <c r="F114" s="227"/>
      <c r="G114" s="227"/>
      <c r="H114" s="227"/>
      <c r="I114" s="227"/>
      <c r="J114" s="227"/>
      <c r="K114" s="227"/>
      <c r="L114" s="227"/>
      <c r="M114" s="227"/>
      <c r="N114" s="227"/>
      <c r="O114" s="227"/>
      <c r="P114" s="227"/>
      <c r="Q114" s="227">
        <v>38</v>
      </c>
      <c r="R114" s="227"/>
    </row>
    <row r="115" spans="1:18" ht="12.75">
      <c r="A115" s="278">
        <v>107</v>
      </c>
      <c r="B115" s="279" t="s">
        <v>261</v>
      </c>
      <c r="C115" s="227">
        <f t="shared" si="2"/>
        <v>11</v>
      </c>
      <c r="D115" s="227"/>
      <c r="E115" s="227"/>
      <c r="F115" s="227"/>
      <c r="G115" s="227"/>
      <c r="H115" s="227"/>
      <c r="I115" s="227"/>
      <c r="J115" s="227"/>
      <c r="K115" s="227"/>
      <c r="L115" s="227"/>
      <c r="M115" s="227"/>
      <c r="N115" s="227"/>
      <c r="O115" s="227"/>
      <c r="P115" s="227"/>
      <c r="Q115" s="227">
        <v>11</v>
      </c>
      <c r="R115" s="227"/>
    </row>
    <row r="116" spans="1:18" ht="12.75">
      <c r="A116" s="278">
        <v>108</v>
      </c>
      <c r="B116" s="279" t="s">
        <v>262</v>
      </c>
      <c r="C116" s="227">
        <f t="shared" si="2"/>
        <v>68</v>
      </c>
      <c r="D116" s="227"/>
      <c r="E116" s="227"/>
      <c r="F116" s="227"/>
      <c r="G116" s="227"/>
      <c r="H116" s="227"/>
      <c r="I116" s="227"/>
      <c r="J116" s="227"/>
      <c r="K116" s="227"/>
      <c r="L116" s="227"/>
      <c r="M116" s="227"/>
      <c r="N116" s="227"/>
      <c r="O116" s="227"/>
      <c r="P116" s="227"/>
      <c r="Q116" s="227">
        <v>68</v>
      </c>
      <c r="R116" s="227"/>
    </row>
    <row r="117" spans="1:18" ht="12.75">
      <c r="A117" s="278">
        <v>109</v>
      </c>
      <c r="B117" s="279" t="s">
        <v>263</v>
      </c>
      <c r="C117" s="227">
        <f t="shared" si="2"/>
        <v>108</v>
      </c>
      <c r="D117" s="227"/>
      <c r="E117" s="227"/>
      <c r="F117" s="227"/>
      <c r="G117" s="227"/>
      <c r="H117" s="227"/>
      <c r="I117" s="227"/>
      <c r="J117" s="227"/>
      <c r="K117" s="227"/>
      <c r="L117" s="227"/>
      <c r="M117" s="227"/>
      <c r="N117" s="227"/>
      <c r="O117" s="227"/>
      <c r="P117" s="227"/>
      <c r="Q117" s="227">
        <v>108</v>
      </c>
      <c r="R117" s="227"/>
    </row>
    <row r="118" spans="1:18" ht="12.75">
      <c r="A118" s="278">
        <v>110</v>
      </c>
      <c r="B118" s="279" t="s">
        <v>264</v>
      </c>
      <c r="C118" s="227">
        <f t="shared" si="2"/>
        <v>26</v>
      </c>
      <c r="D118" s="227"/>
      <c r="E118" s="227"/>
      <c r="F118" s="227"/>
      <c r="G118" s="227"/>
      <c r="H118" s="227"/>
      <c r="I118" s="227"/>
      <c r="J118" s="227"/>
      <c r="K118" s="227"/>
      <c r="L118" s="227"/>
      <c r="M118" s="227"/>
      <c r="N118" s="227"/>
      <c r="O118" s="227"/>
      <c r="P118" s="227"/>
      <c r="Q118" s="227">
        <v>26</v>
      </c>
      <c r="R118" s="227"/>
    </row>
    <row r="119" spans="1:18" ht="12.75">
      <c r="A119" s="278">
        <v>111</v>
      </c>
      <c r="B119" s="279" t="s">
        <v>442</v>
      </c>
      <c r="C119" s="227">
        <f>SUM(D119:M119,P119:R119)</f>
        <v>11</v>
      </c>
      <c r="D119" s="227"/>
      <c r="E119" s="227"/>
      <c r="F119" s="227"/>
      <c r="G119" s="227"/>
      <c r="H119" s="227"/>
      <c r="I119" s="227"/>
      <c r="J119" s="227"/>
      <c r="K119" s="227"/>
      <c r="L119" s="227"/>
      <c r="M119" s="227"/>
      <c r="N119" s="227"/>
      <c r="O119" s="227"/>
      <c r="P119" s="227"/>
      <c r="Q119" s="227"/>
      <c r="R119" s="227">
        <f>11</f>
        <v>11</v>
      </c>
    </row>
    <row r="120" spans="1:18" ht="12.75">
      <c r="A120" s="278">
        <v>112</v>
      </c>
      <c r="B120" s="279" t="s">
        <v>399</v>
      </c>
      <c r="C120" s="227">
        <f>SUM(D120:M120,P120:R120)</f>
        <v>1182</v>
      </c>
      <c r="D120" s="227">
        <f>'[4]B37'!D103</f>
        <v>0</v>
      </c>
      <c r="E120" s="227"/>
      <c r="F120" s="227">
        <f>'[4]B37'!F103</f>
        <v>0</v>
      </c>
      <c r="G120" s="227">
        <f>'[4]B37'!G103</f>
        <v>0</v>
      </c>
      <c r="H120" s="227">
        <f>'[4]B37'!H103</f>
        <v>0</v>
      </c>
      <c r="I120" s="227">
        <f>'[4]B37'!I103</f>
        <v>0</v>
      </c>
      <c r="J120" s="227">
        <f>'[4]B37'!J103</f>
        <v>0</v>
      </c>
      <c r="K120" s="227">
        <f>'[4]B37'!K103</f>
        <v>0</v>
      </c>
      <c r="L120" s="227">
        <f>'[4]B37'!L103</f>
        <v>0</v>
      </c>
      <c r="M120" s="227">
        <f>'[4]B37'!M103+649</f>
        <v>1182</v>
      </c>
      <c r="N120" s="227">
        <f>'[4]B37'!N103</f>
        <v>0</v>
      </c>
      <c r="O120" s="227">
        <f>'[4]B37'!O103</f>
        <v>0</v>
      </c>
      <c r="P120" s="227">
        <f>'[4]B37'!P103</f>
        <v>0</v>
      </c>
      <c r="Q120" s="227">
        <f>'[4]B37'!Q103</f>
        <v>0</v>
      </c>
      <c r="R120" s="227">
        <f>'[4]B37'!R103</f>
        <v>0</v>
      </c>
    </row>
    <row r="121" spans="1:18" ht="12.75">
      <c r="A121" s="278">
        <v>113</v>
      </c>
      <c r="B121" s="279" t="s">
        <v>391</v>
      </c>
      <c r="C121" s="227">
        <f>SUM(D121:M121,P121:R121)</f>
        <v>11814</v>
      </c>
      <c r="D121" s="227"/>
      <c r="E121" s="227"/>
      <c r="F121" s="227"/>
      <c r="G121" s="227"/>
      <c r="H121" s="227"/>
      <c r="I121" s="227">
        <f>168</f>
        <v>168</v>
      </c>
      <c r="J121" s="227"/>
      <c r="K121" s="227"/>
      <c r="L121" s="227">
        <f>9064</f>
        <v>9064</v>
      </c>
      <c r="M121" s="227">
        <f>1676+20+354+532</f>
        <v>2582</v>
      </c>
      <c r="N121" s="227"/>
      <c r="O121" s="227"/>
      <c r="P121" s="227"/>
      <c r="Q121" s="227"/>
      <c r="R121" s="227"/>
    </row>
    <row r="122" spans="1:18" ht="12.75">
      <c r="A122" s="278">
        <v>114</v>
      </c>
      <c r="B122" s="279" t="s">
        <v>403</v>
      </c>
      <c r="C122" s="227">
        <f t="shared" si="2"/>
        <v>284</v>
      </c>
      <c r="D122" s="227">
        <f>'[4]B37'!D123</f>
        <v>0</v>
      </c>
      <c r="E122" s="227"/>
      <c r="F122" s="227">
        <f>'[4]B37'!F123</f>
        <v>0</v>
      </c>
      <c r="G122" s="227">
        <f>'[4]B37'!G123</f>
        <v>0</v>
      </c>
      <c r="H122" s="227">
        <f>'[4]B37'!H123</f>
        <v>0</v>
      </c>
      <c r="I122" s="227">
        <f>'[4]B37'!I123</f>
        <v>0</v>
      </c>
      <c r="J122" s="227">
        <f>'[4]B37'!J123</f>
        <v>0</v>
      </c>
      <c r="K122" s="227">
        <f>'[4]B37'!K123</f>
        <v>0</v>
      </c>
      <c r="L122" s="227">
        <f>'[4]B37'!L123</f>
        <v>0</v>
      </c>
      <c r="M122" s="227">
        <f>'[4]B37'!M123</f>
        <v>284</v>
      </c>
      <c r="N122" s="227">
        <f>'[4]B37'!N123</f>
        <v>0</v>
      </c>
      <c r="O122" s="227">
        <f>'[4]B37'!O123</f>
        <v>0</v>
      </c>
      <c r="P122" s="227">
        <f>'[4]B37'!P123</f>
        <v>0</v>
      </c>
      <c r="Q122" s="227">
        <f>'[4]B37'!Q123</f>
        <v>0</v>
      </c>
      <c r="R122" s="227">
        <f>'[4]B37'!R123</f>
        <v>0</v>
      </c>
    </row>
    <row r="123" spans="1:18" ht="12.75">
      <c r="A123" s="282">
        <v>115</v>
      </c>
      <c r="B123" s="283" t="s">
        <v>251</v>
      </c>
      <c r="C123" s="284">
        <f t="shared" si="2"/>
        <v>58437</v>
      </c>
      <c r="D123" s="284">
        <f>'B23'!$D28-SUM(D8:D122)</f>
        <v>8236</v>
      </c>
      <c r="E123" s="284"/>
      <c r="F123" s="284">
        <f>'B23'!$D30-SUM(F8:F122)</f>
        <v>551</v>
      </c>
      <c r="G123" s="284">
        <f>'B23'!$D31-SUM(G8:G122)</f>
        <v>1680</v>
      </c>
      <c r="H123" s="284">
        <f>'B23'!$D32-SUM(H8:H122)-'B22'!$G30</f>
        <v>1801</v>
      </c>
      <c r="I123" s="284">
        <f>'B23'!$D33-SUM(I8:I122)</f>
        <v>322</v>
      </c>
      <c r="J123" s="284">
        <f>'[4]B37'!J124</f>
        <v>0</v>
      </c>
      <c r="K123" s="284">
        <f>'B23'!$D35-SUM(K8:K122)</f>
        <v>0</v>
      </c>
      <c r="L123" s="284">
        <f>'B23'!$D36-SUM(L8:L122)</f>
        <v>6016</v>
      </c>
      <c r="M123" s="284">
        <f>'B23'!$D37-SUM(M8:M122)</f>
        <v>1696</v>
      </c>
      <c r="N123" s="284">
        <f>'[3]sheet1'!C25-SUM(N8:N122)</f>
        <v>0</v>
      </c>
      <c r="O123" s="284">
        <f>'BS76'!O122</f>
        <v>0</v>
      </c>
      <c r="P123" s="284">
        <f>'B23'!$D38-SUM(P8:P122)</f>
        <v>3411</v>
      </c>
      <c r="Q123" s="284">
        <f>'B23'!$D39-SUM(Q8:Q122)</f>
        <v>4273</v>
      </c>
      <c r="R123" s="284">
        <f>'B23'!$D40-SUM(R8:R122)</f>
        <v>30451</v>
      </c>
    </row>
  </sheetData>
  <sheetProtection/>
  <mergeCells count="18">
    <mergeCell ref="Q4:Q5"/>
    <mergeCell ref="R4:R5"/>
    <mergeCell ref="I4:I5"/>
    <mergeCell ref="J4:J5"/>
    <mergeCell ref="K4:K5"/>
    <mergeCell ref="L4:L5"/>
    <mergeCell ref="M4:M5"/>
    <mergeCell ref="N4:O4"/>
    <mergeCell ref="A2:R2"/>
    <mergeCell ref="A4:A5"/>
    <mergeCell ref="B4:B5"/>
    <mergeCell ref="C4:C5"/>
    <mergeCell ref="D4:D5"/>
    <mergeCell ref="E4:E5"/>
    <mergeCell ref="F4:F5"/>
    <mergeCell ref="G4:G5"/>
    <mergeCell ref="H4:H5"/>
    <mergeCell ref="P4:P5"/>
  </mergeCells>
  <printOptions horizontalCentered="1"/>
  <pageMargins left="0.4" right="0.4" top="0.5" bottom="0.5" header="0.3" footer="0.3"/>
  <pageSetup horizontalDpi="600" verticalDpi="600" orientation="landscape" paperSize="9" r:id="rId1"/>
  <headerFooter>
    <oddFooter>&amp;C&amp;"Times New Roman,Regular"&amp;10Biểu mẫu số 26&amp;R&amp;"Times New Roman,Regular"&amp;10&amp;P</oddFooter>
  </headerFooter>
</worksheet>
</file>

<file path=xl/worksheets/sheet24.xml><?xml version="1.0" encoding="utf-8"?>
<worksheet xmlns="http://schemas.openxmlformats.org/spreadsheetml/2006/main" xmlns:r="http://schemas.openxmlformats.org/officeDocument/2006/relationships">
  <dimension ref="A1:AG26"/>
  <sheetViews>
    <sheetView showZeros="0" zoomScale="110" zoomScaleNormal="110" zoomScalePageLayoutView="0" workbookViewId="0" topLeftCell="A1">
      <selection activeCell="K1" sqref="K1:K16384"/>
    </sheetView>
  </sheetViews>
  <sheetFormatPr defaultColWidth="9.140625" defaultRowHeight="15"/>
  <cols>
    <col min="1" max="1" width="5.57421875" style="220" customWidth="1"/>
    <col min="2" max="2" width="18.421875" style="220" customWidth="1"/>
    <col min="3" max="4" width="9.28125" style="220" customWidth="1"/>
    <col min="5" max="9" width="9.28125" style="220" hidden="1" customWidth="1"/>
    <col min="10" max="11" width="9.28125" style="220" customWidth="1"/>
    <col min="12" max="12" width="9.28125" style="220" hidden="1" customWidth="1"/>
    <col min="13" max="14" width="9.28125" style="220" customWidth="1"/>
    <col min="15" max="19" width="9.28125" style="220" hidden="1" customWidth="1"/>
    <col min="20" max="21" width="9.28125" style="220" customWidth="1"/>
    <col min="22" max="22" width="9.28125" style="220" hidden="1" customWidth="1"/>
    <col min="23" max="24" width="9.28125" style="220" customWidth="1"/>
    <col min="25" max="29" width="9.28125" style="220" hidden="1" customWidth="1"/>
    <col min="30" max="31" width="9.28125" style="220" customWidth="1"/>
    <col min="32" max="32" width="9.140625" style="220" hidden="1" customWidth="1"/>
    <col min="33" max="16384" width="9.140625" style="220" customWidth="1"/>
  </cols>
  <sheetData>
    <row r="1" spans="1:32" ht="15.7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6" t="s">
        <v>319</v>
      </c>
      <c r="AF1" s="286"/>
    </row>
    <row r="2" spans="1:32" ht="18.75">
      <c r="A2" s="488" t="s">
        <v>466</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row>
    <row r="3" spans="1:32" ht="15.75">
      <c r="A3" s="489"/>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2" ht="15.75">
      <c r="A4" s="285"/>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7" t="s">
        <v>10</v>
      </c>
      <c r="AF4" s="287"/>
    </row>
    <row r="5" spans="1:33" ht="15.75">
      <c r="A5" s="484" t="s">
        <v>0</v>
      </c>
      <c r="B5" s="484" t="s">
        <v>173</v>
      </c>
      <c r="C5" s="484" t="s">
        <v>467</v>
      </c>
      <c r="D5" s="484"/>
      <c r="E5" s="484"/>
      <c r="F5" s="484"/>
      <c r="G5" s="484"/>
      <c r="H5" s="484"/>
      <c r="I5" s="484"/>
      <c r="J5" s="484"/>
      <c r="K5" s="484"/>
      <c r="L5" s="484"/>
      <c r="M5" s="484" t="s">
        <v>468</v>
      </c>
      <c r="N5" s="484"/>
      <c r="O5" s="484"/>
      <c r="P5" s="484"/>
      <c r="Q5" s="484"/>
      <c r="R5" s="484"/>
      <c r="S5" s="484"/>
      <c r="T5" s="484"/>
      <c r="U5" s="484"/>
      <c r="V5" s="484"/>
      <c r="W5" s="485" t="s">
        <v>50</v>
      </c>
      <c r="X5" s="486"/>
      <c r="Y5" s="486"/>
      <c r="Z5" s="486"/>
      <c r="AA5" s="486"/>
      <c r="AB5" s="486"/>
      <c r="AC5" s="486"/>
      <c r="AD5" s="486"/>
      <c r="AE5" s="487"/>
      <c r="AF5" s="289"/>
      <c r="AG5" s="290"/>
    </row>
    <row r="6" spans="1:32" ht="31.5" customHeight="1">
      <c r="A6" s="484"/>
      <c r="B6" s="484"/>
      <c r="C6" s="484" t="s">
        <v>130</v>
      </c>
      <c r="D6" s="490" t="s">
        <v>93</v>
      </c>
      <c r="E6" s="491"/>
      <c r="F6" s="491"/>
      <c r="G6" s="491"/>
      <c r="H6" s="491"/>
      <c r="I6" s="492"/>
      <c r="J6" s="484" t="s">
        <v>7</v>
      </c>
      <c r="K6" s="484" t="s">
        <v>208</v>
      </c>
      <c r="L6" s="484"/>
      <c r="M6" s="484" t="s">
        <v>130</v>
      </c>
      <c r="N6" s="490" t="s">
        <v>93</v>
      </c>
      <c r="O6" s="491"/>
      <c r="P6" s="491"/>
      <c r="Q6" s="491"/>
      <c r="R6" s="491"/>
      <c r="S6" s="492"/>
      <c r="T6" s="484" t="s">
        <v>7</v>
      </c>
      <c r="U6" s="484" t="s">
        <v>208</v>
      </c>
      <c r="V6" s="484"/>
      <c r="W6" s="484" t="s">
        <v>130</v>
      </c>
      <c r="X6" s="490" t="s">
        <v>93</v>
      </c>
      <c r="Y6" s="491"/>
      <c r="Z6" s="491"/>
      <c r="AA6" s="491"/>
      <c r="AB6" s="491"/>
      <c r="AC6" s="492"/>
      <c r="AD6" s="484" t="s">
        <v>7</v>
      </c>
      <c r="AE6" s="288" t="s">
        <v>321</v>
      </c>
      <c r="AF6" s="289"/>
    </row>
    <row r="7" spans="1:32" ht="81" customHeight="1">
      <c r="A7" s="484"/>
      <c r="B7" s="484"/>
      <c r="C7" s="484"/>
      <c r="D7" s="493"/>
      <c r="E7" s="494"/>
      <c r="F7" s="494"/>
      <c r="G7" s="494"/>
      <c r="H7" s="494"/>
      <c r="I7" s="495"/>
      <c r="J7" s="484"/>
      <c r="K7" s="288" t="s">
        <v>320</v>
      </c>
      <c r="L7" s="288" t="s">
        <v>101</v>
      </c>
      <c r="M7" s="484"/>
      <c r="N7" s="493"/>
      <c r="O7" s="494"/>
      <c r="P7" s="494"/>
      <c r="Q7" s="494"/>
      <c r="R7" s="494"/>
      <c r="S7" s="495"/>
      <c r="T7" s="484"/>
      <c r="U7" s="288" t="s">
        <v>320</v>
      </c>
      <c r="V7" s="288"/>
      <c r="W7" s="484"/>
      <c r="X7" s="493"/>
      <c r="Y7" s="494"/>
      <c r="Z7" s="494"/>
      <c r="AA7" s="494"/>
      <c r="AB7" s="494"/>
      <c r="AC7" s="495"/>
      <c r="AD7" s="484"/>
      <c r="AE7" s="288" t="s">
        <v>320</v>
      </c>
      <c r="AF7" s="288"/>
    </row>
    <row r="8" spans="1:32" ht="15.75">
      <c r="A8" s="288" t="s">
        <v>1</v>
      </c>
      <c r="B8" s="288" t="s">
        <v>6</v>
      </c>
      <c r="C8" s="291" t="s">
        <v>178</v>
      </c>
      <c r="D8" s="291" t="s">
        <v>52</v>
      </c>
      <c r="E8" s="288"/>
      <c r="F8" s="288"/>
      <c r="G8" s="288"/>
      <c r="H8" s="288"/>
      <c r="I8" s="288"/>
      <c r="J8" s="291" t="s">
        <v>53</v>
      </c>
      <c r="K8" s="291" t="s">
        <v>54</v>
      </c>
      <c r="L8" s="288"/>
      <c r="M8" s="291" t="s">
        <v>343</v>
      </c>
      <c r="N8" s="291" t="s">
        <v>300</v>
      </c>
      <c r="O8" s="288"/>
      <c r="P8" s="288"/>
      <c r="Q8" s="288"/>
      <c r="R8" s="288"/>
      <c r="S8" s="288"/>
      <c r="T8" s="291" t="s">
        <v>301</v>
      </c>
      <c r="U8" s="291" t="s">
        <v>302</v>
      </c>
      <c r="V8" s="288"/>
      <c r="W8" s="291" t="s">
        <v>135</v>
      </c>
      <c r="X8" s="291" t="s">
        <v>136</v>
      </c>
      <c r="Y8" s="288"/>
      <c r="Z8" s="288"/>
      <c r="AA8" s="288"/>
      <c r="AB8" s="288"/>
      <c r="AC8" s="288"/>
      <c r="AD8" s="291" t="s">
        <v>137</v>
      </c>
      <c r="AE8" s="291" t="s">
        <v>138</v>
      </c>
      <c r="AF8" s="288"/>
    </row>
    <row r="9" spans="1:32" ht="15.75">
      <c r="A9" s="292"/>
      <c r="B9" s="293" t="s">
        <v>149</v>
      </c>
      <c r="C9" s="294">
        <f>SUM(C10:C25)</f>
        <v>201989</v>
      </c>
      <c r="D9" s="294">
        <f aca="true" t="shared" si="0" ref="D9:U9">SUM(D10:D25)</f>
        <v>0</v>
      </c>
      <c r="E9" s="294">
        <f t="shared" si="0"/>
        <v>0</v>
      </c>
      <c r="F9" s="294">
        <f t="shared" si="0"/>
        <v>0</v>
      </c>
      <c r="G9" s="294">
        <f t="shared" si="0"/>
        <v>0</v>
      </c>
      <c r="H9" s="294">
        <f t="shared" si="0"/>
        <v>0</v>
      </c>
      <c r="I9" s="294">
        <f t="shared" si="0"/>
        <v>0</v>
      </c>
      <c r="J9" s="294">
        <f t="shared" si="0"/>
        <v>201989</v>
      </c>
      <c r="K9" s="294">
        <f t="shared" si="0"/>
        <v>321</v>
      </c>
      <c r="L9" s="294">
        <f t="shared" si="0"/>
        <v>0</v>
      </c>
      <c r="M9" s="294">
        <f t="shared" si="0"/>
        <v>229309</v>
      </c>
      <c r="N9" s="294">
        <f t="shared" si="0"/>
        <v>0</v>
      </c>
      <c r="O9" s="294">
        <f t="shared" si="0"/>
        <v>0</v>
      </c>
      <c r="P9" s="294">
        <f t="shared" si="0"/>
        <v>0</v>
      </c>
      <c r="Q9" s="294">
        <f t="shared" si="0"/>
        <v>0</v>
      </c>
      <c r="R9" s="294">
        <f t="shared" si="0"/>
        <v>0</v>
      </c>
      <c r="S9" s="294">
        <f t="shared" si="0"/>
        <v>0</v>
      </c>
      <c r="T9" s="294">
        <f t="shared" si="0"/>
        <v>229309</v>
      </c>
      <c r="U9" s="294">
        <f t="shared" si="0"/>
        <v>321</v>
      </c>
      <c r="V9" s="295"/>
      <c r="W9" s="296">
        <f>M9/C9*100</f>
        <v>113.52548901177786</v>
      </c>
      <c r="X9" s="296"/>
      <c r="Y9" s="295"/>
      <c r="Z9" s="295"/>
      <c r="AA9" s="295"/>
      <c r="AB9" s="295"/>
      <c r="AC9" s="295"/>
      <c r="AD9" s="296">
        <f>T9/J9*100</f>
        <v>113.52548901177786</v>
      </c>
      <c r="AE9" s="296">
        <f>U9/K9*100</f>
        <v>100</v>
      </c>
      <c r="AF9" s="297"/>
    </row>
    <row r="10" spans="1:33" ht="15.75">
      <c r="A10" s="298">
        <v>1</v>
      </c>
      <c r="B10" s="299" t="s">
        <v>150</v>
      </c>
      <c r="C10" s="300">
        <f>SUM(D10:J10)</f>
        <v>11839</v>
      </c>
      <c r="D10" s="300"/>
      <c r="E10" s="300"/>
      <c r="F10" s="300"/>
      <c r="G10" s="300"/>
      <c r="H10" s="300"/>
      <c r="I10" s="300"/>
      <c r="J10" s="300">
        <v>11839</v>
      </c>
      <c r="K10" s="300">
        <v>20</v>
      </c>
      <c r="L10" s="300"/>
      <c r="M10" s="300">
        <f>SUM(N10:T10)</f>
        <v>12642</v>
      </c>
      <c r="N10" s="300"/>
      <c r="O10" s="300"/>
      <c r="P10" s="300"/>
      <c r="Q10" s="300"/>
      <c r="R10" s="300"/>
      <c r="S10" s="300"/>
      <c r="T10" s="300">
        <v>12642</v>
      </c>
      <c r="U10" s="300">
        <f>K10</f>
        <v>20</v>
      </c>
      <c r="V10" s="300"/>
      <c r="W10" s="301">
        <f>M10/C10*100</f>
        <v>106.78266745502154</v>
      </c>
      <c r="X10" s="301"/>
      <c r="Y10" s="300"/>
      <c r="Z10" s="300"/>
      <c r="AA10" s="300"/>
      <c r="AB10" s="300"/>
      <c r="AC10" s="300"/>
      <c r="AD10" s="301">
        <f>T10/J10*100</f>
        <v>106.78266745502154</v>
      </c>
      <c r="AE10" s="301">
        <f>U10/K10*100</f>
        <v>100</v>
      </c>
      <c r="AF10" s="297"/>
      <c r="AG10" s="371"/>
    </row>
    <row r="11" spans="1:33" ht="15.75">
      <c r="A11" s="298">
        <v>2</v>
      </c>
      <c r="B11" s="299" t="s">
        <v>151</v>
      </c>
      <c r="C11" s="300">
        <f aca="true" t="shared" si="1" ref="C11:C25">SUM(D11:J11)</f>
        <v>12868</v>
      </c>
      <c r="D11" s="300"/>
      <c r="E11" s="300"/>
      <c r="F11" s="300"/>
      <c r="G11" s="300"/>
      <c r="H11" s="300"/>
      <c r="I11" s="300"/>
      <c r="J11" s="300">
        <v>12868</v>
      </c>
      <c r="K11" s="300">
        <v>20</v>
      </c>
      <c r="L11" s="300"/>
      <c r="M11" s="300">
        <f aca="true" t="shared" si="2" ref="M11:M25">SUM(N11:T11)</f>
        <v>14460</v>
      </c>
      <c r="N11" s="300"/>
      <c r="O11" s="300"/>
      <c r="P11" s="300"/>
      <c r="Q11" s="300"/>
      <c r="R11" s="300"/>
      <c r="S11" s="300"/>
      <c r="T11" s="300">
        <v>14460</v>
      </c>
      <c r="U11" s="300">
        <f aca="true" t="shared" si="3" ref="U11:U25">K11</f>
        <v>20</v>
      </c>
      <c r="V11" s="300"/>
      <c r="W11" s="301">
        <f aca="true" t="shared" si="4" ref="W11:W25">M11/C11*100</f>
        <v>112.37177494560149</v>
      </c>
      <c r="X11" s="301"/>
      <c r="Y11" s="300"/>
      <c r="Z11" s="300"/>
      <c r="AA11" s="300"/>
      <c r="AB11" s="300"/>
      <c r="AC11" s="300"/>
      <c r="AD11" s="301">
        <f aca="true" t="shared" si="5" ref="AD11:AE25">T11/J11*100</f>
        <v>112.37177494560149</v>
      </c>
      <c r="AE11" s="301">
        <f t="shared" si="5"/>
        <v>100</v>
      </c>
      <c r="AF11" s="297"/>
      <c r="AG11" s="371"/>
    </row>
    <row r="12" spans="1:33" ht="15.75">
      <c r="A12" s="298">
        <v>3</v>
      </c>
      <c r="B12" s="299" t="s">
        <v>152</v>
      </c>
      <c r="C12" s="300">
        <f t="shared" si="1"/>
        <v>13261</v>
      </c>
      <c r="D12" s="300"/>
      <c r="E12" s="300"/>
      <c r="F12" s="300"/>
      <c r="G12" s="300"/>
      <c r="H12" s="300"/>
      <c r="I12" s="300"/>
      <c r="J12" s="300">
        <v>13261</v>
      </c>
      <c r="K12" s="300">
        <v>20</v>
      </c>
      <c r="L12" s="300"/>
      <c r="M12" s="300">
        <f t="shared" si="2"/>
        <v>16320</v>
      </c>
      <c r="N12" s="300"/>
      <c r="O12" s="300"/>
      <c r="P12" s="300"/>
      <c r="Q12" s="300"/>
      <c r="R12" s="300"/>
      <c r="S12" s="300"/>
      <c r="T12" s="300">
        <v>16320</v>
      </c>
      <c r="U12" s="300">
        <f t="shared" si="3"/>
        <v>20</v>
      </c>
      <c r="V12" s="300"/>
      <c r="W12" s="301">
        <f t="shared" si="4"/>
        <v>123.0676419576201</v>
      </c>
      <c r="X12" s="301"/>
      <c r="Y12" s="300"/>
      <c r="Z12" s="300"/>
      <c r="AA12" s="300"/>
      <c r="AB12" s="300"/>
      <c r="AC12" s="300"/>
      <c r="AD12" s="301">
        <f t="shared" si="5"/>
        <v>123.0676419576201</v>
      </c>
      <c r="AE12" s="301">
        <f t="shared" si="5"/>
        <v>100</v>
      </c>
      <c r="AF12" s="297"/>
      <c r="AG12" s="371"/>
    </row>
    <row r="13" spans="1:33" ht="15.75">
      <c r="A13" s="298">
        <v>4</v>
      </c>
      <c r="B13" s="299" t="s">
        <v>153</v>
      </c>
      <c r="C13" s="300">
        <f t="shared" si="1"/>
        <v>15985</v>
      </c>
      <c r="D13" s="300"/>
      <c r="E13" s="300"/>
      <c r="F13" s="300"/>
      <c r="G13" s="300"/>
      <c r="H13" s="300"/>
      <c r="I13" s="300"/>
      <c r="J13" s="300">
        <v>15985</v>
      </c>
      <c r="K13" s="300">
        <v>20</v>
      </c>
      <c r="L13" s="300"/>
      <c r="M13" s="300">
        <f t="shared" si="2"/>
        <v>16731</v>
      </c>
      <c r="N13" s="300"/>
      <c r="O13" s="300"/>
      <c r="P13" s="300"/>
      <c r="Q13" s="300"/>
      <c r="R13" s="300"/>
      <c r="S13" s="300"/>
      <c r="T13" s="300">
        <v>16731</v>
      </c>
      <c r="U13" s="300">
        <f t="shared" si="3"/>
        <v>20</v>
      </c>
      <c r="V13" s="300"/>
      <c r="W13" s="301">
        <f t="shared" si="4"/>
        <v>104.66687519549578</v>
      </c>
      <c r="X13" s="301"/>
      <c r="Y13" s="300"/>
      <c r="Z13" s="300"/>
      <c r="AA13" s="300"/>
      <c r="AB13" s="300"/>
      <c r="AC13" s="300"/>
      <c r="AD13" s="301">
        <f t="shared" si="5"/>
        <v>104.66687519549578</v>
      </c>
      <c r="AE13" s="301">
        <f t="shared" si="5"/>
        <v>100</v>
      </c>
      <c r="AF13" s="297"/>
      <c r="AG13" s="371"/>
    </row>
    <row r="14" spans="1:33" ht="15.75">
      <c r="A14" s="298">
        <v>5</v>
      </c>
      <c r="B14" s="299" t="s">
        <v>154</v>
      </c>
      <c r="C14" s="300">
        <f t="shared" si="1"/>
        <v>15395</v>
      </c>
      <c r="D14" s="300"/>
      <c r="E14" s="300"/>
      <c r="F14" s="300"/>
      <c r="G14" s="300"/>
      <c r="H14" s="300"/>
      <c r="I14" s="300"/>
      <c r="J14" s="300">
        <v>15395</v>
      </c>
      <c r="K14" s="300">
        <v>20</v>
      </c>
      <c r="L14" s="300"/>
      <c r="M14" s="300">
        <f t="shared" si="2"/>
        <v>16708</v>
      </c>
      <c r="N14" s="300"/>
      <c r="O14" s="300"/>
      <c r="P14" s="300"/>
      <c r="Q14" s="300"/>
      <c r="R14" s="300"/>
      <c r="S14" s="300"/>
      <c r="T14" s="300">
        <v>16708</v>
      </c>
      <c r="U14" s="300">
        <f t="shared" si="3"/>
        <v>20</v>
      </c>
      <c r="V14" s="300"/>
      <c r="W14" s="301">
        <f t="shared" si="4"/>
        <v>108.52874309840857</v>
      </c>
      <c r="X14" s="301"/>
      <c r="Y14" s="300"/>
      <c r="Z14" s="300"/>
      <c r="AA14" s="300"/>
      <c r="AB14" s="300"/>
      <c r="AC14" s="300"/>
      <c r="AD14" s="301">
        <f t="shared" si="5"/>
        <v>108.52874309840857</v>
      </c>
      <c r="AE14" s="301">
        <f t="shared" si="5"/>
        <v>100</v>
      </c>
      <c r="AF14" s="297"/>
      <c r="AG14" s="371"/>
    </row>
    <row r="15" spans="1:33" ht="15.75">
      <c r="A15" s="298">
        <v>6</v>
      </c>
      <c r="B15" s="299" t="s">
        <v>155</v>
      </c>
      <c r="C15" s="300">
        <f t="shared" si="1"/>
        <v>12756</v>
      </c>
      <c r="D15" s="300"/>
      <c r="E15" s="300"/>
      <c r="F15" s="300"/>
      <c r="G15" s="300"/>
      <c r="H15" s="300"/>
      <c r="I15" s="300"/>
      <c r="J15" s="300">
        <v>12756</v>
      </c>
      <c r="K15" s="300">
        <v>21</v>
      </c>
      <c r="L15" s="300"/>
      <c r="M15" s="300">
        <f t="shared" si="2"/>
        <v>15711</v>
      </c>
      <c r="N15" s="300"/>
      <c r="O15" s="300"/>
      <c r="P15" s="300"/>
      <c r="Q15" s="300"/>
      <c r="R15" s="300"/>
      <c r="S15" s="300"/>
      <c r="T15" s="300">
        <v>15711</v>
      </c>
      <c r="U15" s="300">
        <f t="shared" si="3"/>
        <v>21</v>
      </c>
      <c r="V15" s="300"/>
      <c r="W15" s="301">
        <f t="shared" si="4"/>
        <v>123.16556914393226</v>
      </c>
      <c r="X15" s="301"/>
      <c r="Y15" s="300"/>
      <c r="Z15" s="300"/>
      <c r="AA15" s="300"/>
      <c r="AB15" s="300"/>
      <c r="AC15" s="300"/>
      <c r="AD15" s="301">
        <f t="shared" si="5"/>
        <v>123.16556914393226</v>
      </c>
      <c r="AE15" s="301">
        <f t="shared" si="5"/>
        <v>100</v>
      </c>
      <c r="AF15" s="297"/>
      <c r="AG15" s="371"/>
    </row>
    <row r="16" spans="1:33" ht="15.75">
      <c r="A16" s="298">
        <v>7</v>
      </c>
      <c r="B16" s="299" t="s">
        <v>156</v>
      </c>
      <c r="C16" s="300">
        <f t="shared" si="1"/>
        <v>13053</v>
      </c>
      <c r="D16" s="300"/>
      <c r="E16" s="300"/>
      <c r="F16" s="300"/>
      <c r="G16" s="300"/>
      <c r="H16" s="300"/>
      <c r="I16" s="300"/>
      <c r="J16" s="300">
        <v>13053</v>
      </c>
      <c r="K16" s="300">
        <v>19</v>
      </c>
      <c r="L16" s="300"/>
      <c r="M16" s="300">
        <f t="shared" si="2"/>
        <v>16174</v>
      </c>
      <c r="N16" s="300"/>
      <c r="O16" s="300"/>
      <c r="P16" s="300"/>
      <c r="Q16" s="300"/>
      <c r="R16" s="300"/>
      <c r="S16" s="300"/>
      <c r="T16" s="300">
        <v>16174</v>
      </c>
      <c r="U16" s="300">
        <f t="shared" si="3"/>
        <v>19</v>
      </c>
      <c r="V16" s="300"/>
      <c r="W16" s="301">
        <f t="shared" si="4"/>
        <v>123.9102122117521</v>
      </c>
      <c r="X16" s="301"/>
      <c r="Y16" s="300"/>
      <c r="Z16" s="300"/>
      <c r="AA16" s="300"/>
      <c r="AB16" s="300"/>
      <c r="AC16" s="300"/>
      <c r="AD16" s="301">
        <f t="shared" si="5"/>
        <v>123.9102122117521</v>
      </c>
      <c r="AE16" s="301">
        <f t="shared" si="5"/>
        <v>100</v>
      </c>
      <c r="AF16" s="297"/>
      <c r="AG16" s="371"/>
    </row>
    <row r="17" spans="1:33" ht="15.75">
      <c r="A17" s="298">
        <v>8</v>
      </c>
      <c r="B17" s="299" t="s">
        <v>157</v>
      </c>
      <c r="C17" s="300">
        <f t="shared" si="1"/>
        <v>10481</v>
      </c>
      <c r="D17" s="300"/>
      <c r="E17" s="300"/>
      <c r="F17" s="300"/>
      <c r="G17" s="300"/>
      <c r="H17" s="300"/>
      <c r="I17" s="300"/>
      <c r="J17" s="300">
        <v>10481</v>
      </c>
      <c r="K17" s="300">
        <v>19</v>
      </c>
      <c r="L17" s="300"/>
      <c r="M17" s="300">
        <f t="shared" si="2"/>
        <v>10717</v>
      </c>
      <c r="N17" s="300"/>
      <c r="O17" s="300"/>
      <c r="P17" s="300"/>
      <c r="Q17" s="300"/>
      <c r="R17" s="300"/>
      <c r="S17" s="300"/>
      <c r="T17" s="300">
        <v>10717</v>
      </c>
      <c r="U17" s="300">
        <f t="shared" si="3"/>
        <v>19</v>
      </c>
      <c r="V17" s="300"/>
      <c r="W17" s="301">
        <f t="shared" si="4"/>
        <v>102.25169354069268</v>
      </c>
      <c r="X17" s="301"/>
      <c r="Y17" s="300"/>
      <c r="Z17" s="300"/>
      <c r="AA17" s="300"/>
      <c r="AB17" s="300"/>
      <c r="AC17" s="300"/>
      <c r="AD17" s="301">
        <f t="shared" si="5"/>
        <v>102.25169354069268</v>
      </c>
      <c r="AE17" s="301">
        <f t="shared" si="5"/>
        <v>100</v>
      </c>
      <c r="AF17" s="297"/>
      <c r="AG17" s="371"/>
    </row>
    <row r="18" spans="1:33" ht="15.75">
      <c r="A18" s="298">
        <v>9</v>
      </c>
      <c r="B18" s="299" t="s">
        <v>158</v>
      </c>
      <c r="C18" s="300">
        <f t="shared" si="1"/>
        <v>12520</v>
      </c>
      <c r="D18" s="300"/>
      <c r="E18" s="300"/>
      <c r="F18" s="300"/>
      <c r="G18" s="300"/>
      <c r="H18" s="300"/>
      <c r="I18" s="300"/>
      <c r="J18" s="300">
        <v>12520</v>
      </c>
      <c r="K18" s="300">
        <v>21</v>
      </c>
      <c r="L18" s="300"/>
      <c r="M18" s="300">
        <f t="shared" si="2"/>
        <v>15223</v>
      </c>
      <c r="N18" s="300"/>
      <c r="O18" s="300"/>
      <c r="P18" s="300"/>
      <c r="Q18" s="300"/>
      <c r="R18" s="300"/>
      <c r="S18" s="300"/>
      <c r="T18" s="300">
        <v>15223</v>
      </c>
      <c r="U18" s="300">
        <f t="shared" si="3"/>
        <v>21</v>
      </c>
      <c r="V18" s="300"/>
      <c r="W18" s="301">
        <f t="shared" si="4"/>
        <v>121.5894568690096</v>
      </c>
      <c r="X18" s="301"/>
      <c r="Y18" s="300"/>
      <c r="Z18" s="300"/>
      <c r="AA18" s="300"/>
      <c r="AB18" s="300"/>
      <c r="AC18" s="300"/>
      <c r="AD18" s="301">
        <f t="shared" si="5"/>
        <v>121.5894568690096</v>
      </c>
      <c r="AE18" s="301">
        <f t="shared" si="5"/>
        <v>100</v>
      </c>
      <c r="AF18" s="297"/>
      <c r="AG18" s="371"/>
    </row>
    <row r="19" spans="1:33" ht="15.75">
      <c r="A19" s="298">
        <v>10</v>
      </c>
      <c r="B19" s="299" t="s">
        <v>159</v>
      </c>
      <c r="C19" s="300">
        <f t="shared" si="1"/>
        <v>11822</v>
      </c>
      <c r="D19" s="300"/>
      <c r="E19" s="300"/>
      <c r="F19" s="300"/>
      <c r="G19" s="300"/>
      <c r="H19" s="300"/>
      <c r="I19" s="300"/>
      <c r="J19" s="300">
        <v>11822</v>
      </c>
      <c r="K19" s="300">
        <v>20</v>
      </c>
      <c r="L19" s="300"/>
      <c r="M19" s="300">
        <f t="shared" si="2"/>
        <v>12288</v>
      </c>
      <c r="N19" s="300"/>
      <c r="O19" s="300"/>
      <c r="P19" s="300"/>
      <c r="Q19" s="300"/>
      <c r="R19" s="300"/>
      <c r="S19" s="300"/>
      <c r="T19" s="300">
        <v>12288</v>
      </c>
      <c r="U19" s="300">
        <f t="shared" si="3"/>
        <v>20</v>
      </c>
      <c r="V19" s="300"/>
      <c r="W19" s="301">
        <f t="shared" si="4"/>
        <v>103.94180341735746</v>
      </c>
      <c r="X19" s="301"/>
      <c r="Y19" s="300"/>
      <c r="Z19" s="300"/>
      <c r="AA19" s="300"/>
      <c r="AB19" s="300"/>
      <c r="AC19" s="300"/>
      <c r="AD19" s="301">
        <f t="shared" si="5"/>
        <v>103.94180341735746</v>
      </c>
      <c r="AE19" s="301">
        <f t="shared" si="5"/>
        <v>100</v>
      </c>
      <c r="AF19" s="297"/>
      <c r="AG19" s="371"/>
    </row>
    <row r="20" spans="1:33" ht="15.75">
      <c r="A20" s="298">
        <v>11</v>
      </c>
      <c r="B20" s="299" t="s">
        <v>160</v>
      </c>
      <c r="C20" s="300">
        <f t="shared" si="1"/>
        <v>9854</v>
      </c>
      <c r="D20" s="300"/>
      <c r="E20" s="300"/>
      <c r="F20" s="300"/>
      <c r="G20" s="300"/>
      <c r="H20" s="300"/>
      <c r="I20" s="300"/>
      <c r="J20" s="300">
        <v>9854</v>
      </c>
      <c r="K20" s="300">
        <v>21</v>
      </c>
      <c r="L20" s="300"/>
      <c r="M20" s="300">
        <f t="shared" si="2"/>
        <v>10290</v>
      </c>
      <c r="N20" s="300"/>
      <c r="O20" s="300"/>
      <c r="P20" s="300"/>
      <c r="Q20" s="300"/>
      <c r="R20" s="300"/>
      <c r="S20" s="300"/>
      <c r="T20" s="300">
        <v>10290</v>
      </c>
      <c r="U20" s="300">
        <f t="shared" si="3"/>
        <v>21</v>
      </c>
      <c r="V20" s="300"/>
      <c r="W20" s="301">
        <f t="shared" si="4"/>
        <v>104.42459914755429</v>
      </c>
      <c r="X20" s="301"/>
      <c r="Y20" s="300"/>
      <c r="Z20" s="300"/>
      <c r="AA20" s="300"/>
      <c r="AB20" s="300"/>
      <c r="AC20" s="300"/>
      <c r="AD20" s="301">
        <f t="shared" si="5"/>
        <v>104.42459914755429</v>
      </c>
      <c r="AE20" s="301">
        <f t="shared" si="5"/>
        <v>100</v>
      </c>
      <c r="AF20" s="297"/>
      <c r="AG20" s="371"/>
    </row>
    <row r="21" spans="1:33" ht="15.75">
      <c r="A21" s="298">
        <v>12</v>
      </c>
      <c r="B21" s="299" t="s">
        <v>161</v>
      </c>
      <c r="C21" s="300">
        <f t="shared" si="1"/>
        <v>11991</v>
      </c>
      <c r="D21" s="300"/>
      <c r="E21" s="300"/>
      <c r="F21" s="300"/>
      <c r="G21" s="300"/>
      <c r="H21" s="300"/>
      <c r="I21" s="300"/>
      <c r="J21" s="300">
        <v>11991</v>
      </c>
      <c r="K21" s="300">
        <v>20</v>
      </c>
      <c r="L21" s="300"/>
      <c r="M21" s="300">
        <f t="shared" si="2"/>
        <v>12804</v>
      </c>
      <c r="N21" s="300"/>
      <c r="O21" s="300"/>
      <c r="P21" s="300"/>
      <c r="Q21" s="300"/>
      <c r="R21" s="300"/>
      <c r="S21" s="300"/>
      <c r="T21" s="300">
        <v>12804</v>
      </c>
      <c r="U21" s="300">
        <f t="shared" si="3"/>
        <v>20</v>
      </c>
      <c r="V21" s="300"/>
      <c r="W21" s="301">
        <f t="shared" si="4"/>
        <v>106.78008506379786</v>
      </c>
      <c r="X21" s="301"/>
      <c r="Y21" s="300"/>
      <c r="Z21" s="300"/>
      <c r="AA21" s="300"/>
      <c r="AB21" s="300"/>
      <c r="AC21" s="300"/>
      <c r="AD21" s="301">
        <f t="shared" si="5"/>
        <v>106.78008506379786</v>
      </c>
      <c r="AE21" s="301">
        <f t="shared" si="5"/>
        <v>100</v>
      </c>
      <c r="AF21" s="297"/>
      <c r="AG21" s="371"/>
    </row>
    <row r="22" spans="1:33" ht="15.75">
      <c r="A22" s="298">
        <v>13</v>
      </c>
      <c r="B22" s="299" t="s">
        <v>162</v>
      </c>
      <c r="C22" s="300">
        <f t="shared" si="1"/>
        <v>10379</v>
      </c>
      <c r="D22" s="300"/>
      <c r="E22" s="300"/>
      <c r="F22" s="300"/>
      <c r="G22" s="300"/>
      <c r="H22" s="300"/>
      <c r="I22" s="300"/>
      <c r="J22" s="300">
        <v>10379</v>
      </c>
      <c r="K22" s="300">
        <v>20</v>
      </c>
      <c r="L22" s="300"/>
      <c r="M22" s="300">
        <f t="shared" si="2"/>
        <v>10843</v>
      </c>
      <c r="N22" s="300"/>
      <c r="O22" s="300"/>
      <c r="P22" s="300"/>
      <c r="Q22" s="300"/>
      <c r="R22" s="300"/>
      <c r="S22" s="300"/>
      <c r="T22" s="300">
        <v>10843</v>
      </c>
      <c r="U22" s="300">
        <f t="shared" si="3"/>
        <v>20</v>
      </c>
      <c r="V22" s="300"/>
      <c r="W22" s="301">
        <f t="shared" si="4"/>
        <v>104.47056556508333</v>
      </c>
      <c r="X22" s="301"/>
      <c r="Y22" s="300"/>
      <c r="Z22" s="300"/>
      <c r="AA22" s="300"/>
      <c r="AB22" s="300"/>
      <c r="AC22" s="300"/>
      <c r="AD22" s="301">
        <f t="shared" si="5"/>
        <v>104.47056556508333</v>
      </c>
      <c r="AE22" s="301">
        <f t="shared" si="5"/>
        <v>100</v>
      </c>
      <c r="AF22" s="297"/>
      <c r="AG22" s="371"/>
    </row>
    <row r="23" spans="1:33" ht="15.75">
      <c r="A23" s="298">
        <v>14</v>
      </c>
      <c r="B23" s="299" t="s">
        <v>163</v>
      </c>
      <c r="C23" s="300">
        <f t="shared" si="1"/>
        <v>12063</v>
      </c>
      <c r="D23" s="300"/>
      <c r="E23" s="300"/>
      <c r="F23" s="300"/>
      <c r="G23" s="300"/>
      <c r="H23" s="300"/>
      <c r="I23" s="300"/>
      <c r="J23" s="300">
        <v>12063</v>
      </c>
      <c r="K23" s="300">
        <v>20</v>
      </c>
      <c r="L23" s="300"/>
      <c r="M23" s="300">
        <f t="shared" si="2"/>
        <v>17126</v>
      </c>
      <c r="N23" s="300"/>
      <c r="O23" s="300"/>
      <c r="P23" s="300"/>
      <c r="Q23" s="300"/>
      <c r="R23" s="300"/>
      <c r="S23" s="300"/>
      <c r="T23" s="300">
        <v>17126</v>
      </c>
      <c r="U23" s="300">
        <f t="shared" si="3"/>
        <v>20</v>
      </c>
      <c r="V23" s="300"/>
      <c r="W23" s="301">
        <f t="shared" si="4"/>
        <v>141.97131725109838</v>
      </c>
      <c r="X23" s="301"/>
      <c r="Y23" s="300"/>
      <c r="Z23" s="300"/>
      <c r="AA23" s="300"/>
      <c r="AB23" s="300"/>
      <c r="AC23" s="300"/>
      <c r="AD23" s="301">
        <f t="shared" si="5"/>
        <v>141.97131725109838</v>
      </c>
      <c r="AE23" s="301">
        <f t="shared" si="5"/>
        <v>100</v>
      </c>
      <c r="AF23" s="297"/>
      <c r="AG23" s="371"/>
    </row>
    <row r="24" spans="1:33" ht="15.75">
      <c r="A24" s="298">
        <v>15</v>
      </c>
      <c r="B24" s="299" t="s">
        <v>164</v>
      </c>
      <c r="C24" s="300">
        <f t="shared" si="1"/>
        <v>14616</v>
      </c>
      <c r="D24" s="300"/>
      <c r="E24" s="300"/>
      <c r="F24" s="300"/>
      <c r="G24" s="300"/>
      <c r="H24" s="300"/>
      <c r="I24" s="300"/>
      <c r="J24" s="300">
        <v>14616</v>
      </c>
      <c r="K24" s="300">
        <v>21</v>
      </c>
      <c r="L24" s="300"/>
      <c r="M24" s="300">
        <f t="shared" si="2"/>
        <v>16273</v>
      </c>
      <c r="N24" s="300"/>
      <c r="O24" s="300"/>
      <c r="P24" s="300"/>
      <c r="Q24" s="300"/>
      <c r="R24" s="300"/>
      <c r="S24" s="300"/>
      <c r="T24" s="300">
        <v>16273</v>
      </c>
      <c r="U24" s="300">
        <f t="shared" si="3"/>
        <v>21</v>
      </c>
      <c r="V24" s="300"/>
      <c r="W24" s="301">
        <f t="shared" si="4"/>
        <v>111.33689107827038</v>
      </c>
      <c r="X24" s="301"/>
      <c r="Y24" s="300"/>
      <c r="Z24" s="300"/>
      <c r="AA24" s="300"/>
      <c r="AB24" s="300"/>
      <c r="AC24" s="300"/>
      <c r="AD24" s="301">
        <f t="shared" si="5"/>
        <v>111.33689107827038</v>
      </c>
      <c r="AE24" s="301">
        <f t="shared" si="5"/>
        <v>100</v>
      </c>
      <c r="AF24" s="297"/>
      <c r="AG24" s="371"/>
    </row>
    <row r="25" spans="1:33" ht="15.75">
      <c r="A25" s="298">
        <v>16</v>
      </c>
      <c r="B25" s="299" t="s">
        <v>165</v>
      </c>
      <c r="C25" s="300">
        <f t="shared" si="1"/>
        <v>13106</v>
      </c>
      <c r="D25" s="300"/>
      <c r="E25" s="300"/>
      <c r="F25" s="300"/>
      <c r="G25" s="300"/>
      <c r="H25" s="300"/>
      <c r="I25" s="300"/>
      <c r="J25" s="300">
        <v>13106</v>
      </c>
      <c r="K25" s="300">
        <v>19</v>
      </c>
      <c r="L25" s="300"/>
      <c r="M25" s="300">
        <f t="shared" si="2"/>
        <v>14999</v>
      </c>
      <c r="N25" s="300"/>
      <c r="O25" s="300"/>
      <c r="P25" s="300"/>
      <c r="Q25" s="300"/>
      <c r="R25" s="300"/>
      <c r="S25" s="300"/>
      <c r="T25" s="300">
        <v>14999</v>
      </c>
      <c r="U25" s="300">
        <f t="shared" si="3"/>
        <v>19</v>
      </c>
      <c r="V25" s="300"/>
      <c r="W25" s="301">
        <f t="shared" si="4"/>
        <v>114.44376621394781</v>
      </c>
      <c r="X25" s="301"/>
      <c r="Y25" s="300"/>
      <c r="Z25" s="300"/>
      <c r="AA25" s="300"/>
      <c r="AB25" s="300"/>
      <c r="AC25" s="300"/>
      <c r="AD25" s="301">
        <f t="shared" si="5"/>
        <v>114.44376621394781</v>
      </c>
      <c r="AE25" s="301">
        <f t="shared" si="5"/>
        <v>100</v>
      </c>
      <c r="AF25" s="297"/>
      <c r="AG25" s="371"/>
    </row>
    <row r="26" spans="1:32" ht="15.75">
      <c r="A26" s="302"/>
      <c r="B26" s="303"/>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297"/>
    </row>
  </sheetData>
  <sheetProtection/>
  <mergeCells count="18">
    <mergeCell ref="A2:AF2"/>
    <mergeCell ref="A3:AF3"/>
    <mergeCell ref="A5:A7"/>
    <mergeCell ref="B5:B7"/>
    <mergeCell ref="C5:L5"/>
    <mergeCell ref="M5:V5"/>
    <mergeCell ref="C6:C7"/>
    <mergeCell ref="D6:I7"/>
    <mergeCell ref="N6:S7"/>
    <mergeCell ref="X6:AC7"/>
    <mergeCell ref="J6:J7"/>
    <mergeCell ref="K6:L6"/>
    <mergeCell ref="M6:M7"/>
    <mergeCell ref="T6:T7"/>
    <mergeCell ref="W5:AE5"/>
    <mergeCell ref="U6:V6"/>
    <mergeCell ref="W6:W7"/>
    <mergeCell ref="AD6:AD7"/>
  </mergeCells>
  <printOptions horizontalCentered="1"/>
  <pageMargins left="0.5" right="0.5" top="0.5" bottom="0.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L16"/>
  <sheetViews>
    <sheetView showZeros="0" zoomScale="120" zoomScaleNormal="120" zoomScalePageLayoutView="0" workbookViewId="0" topLeftCell="A1">
      <selection activeCell="A1" sqref="A1"/>
    </sheetView>
  </sheetViews>
  <sheetFormatPr defaultColWidth="9.140625" defaultRowHeight="15"/>
  <cols>
    <col min="1" max="1" width="5.7109375" style="243" customWidth="1"/>
    <col min="2" max="2" width="25.421875" style="243" customWidth="1"/>
    <col min="3" max="3" width="12.28125" style="243" customWidth="1"/>
    <col min="4" max="5" width="10.57421875" style="243" customWidth="1"/>
    <col min="6" max="6" width="9.57421875" style="243" customWidth="1"/>
    <col min="7" max="7" width="9.421875" style="243" customWidth="1"/>
    <col min="8" max="9" width="10.57421875" style="243" customWidth="1"/>
    <col min="10" max="10" width="9.28125" style="243" customWidth="1"/>
    <col min="11" max="11" width="8.7109375" style="243" customWidth="1"/>
    <col min="12" max="12" width="12.28125" style="243" customWidth="1"/>
    <col min="13" max="16384" width="9.140625" style="243" customWidth="1"/>
  </cols>
  <sheetData>
    <row r="1" ht="15">
      <c r="L1" s="152" t="s">
        <v>322</v>
      </c>
    </row>
    <row r="2" spans="1:12" ht="33" customHeight="1">
      <c r="A2" s="478" t="s">
        <v>469</v>
      </c>
      <c r="B2" s="478"/>
      <c r="C2" s="478"/>
      <c r="D2" s="478"/>
      <c r="E2" s="478"/>
      <c r="F2" s="478"/>
      <c r="G2" s="478"/>
      <c r="H2" s="478"/>
      <c r="I2" s="478"/>
      <c r="J2" s="478"/>
      <c r="K2" s="478"/>
      <c r="L2" s="478"/>
    </row>
    <row r="3" ht="15">
      <c r="L3" s="151" t="s">
        <v>10</v>
      </c>
    </row>
    <row r="4" spans="1:12" ht="15">
      <c r="A4" s="460" t="s">
        <v>0</v>
      </c>
      <c r="B4" s="460" t="s">
        <v>323</v>
      </c>
      <c r="C4" s="460" t="s">
        <v>435</v>
      </c>
      <c r="D4" s="460" t="s">
        <v>441</v>
      </c>
      <c r="E4" s="460"/>
      <c r="F4" s="460"/>
      <c r="G4" s="460"/>
      <c r="H4" s="460" t="s">
        <v>449</v>
      </c>
      <c r="I4" s="460"/>
      <c r="J4" s="460"/>
      <c r="K4" s="460"/>
      <c r="L4" s="460" t="s">
        <v>470</v>
      </c>
    </row>
    <row r="5" spans="1:12" ht="36" customHeight="1">
      <c r="A5" s="460"/>
      <c r="B5" s="460"/>
      <c r="C5" s="460"/>
      <c r="D5" s="460" t="s">
        <v>324</v>
      </c>
      <c r="E5" s="460"/>
      <c r="F5" s="460" t="s">
        <v>325</v>
      </c>
      <c r="G5" s="460" t="s">
        <v>326</v>
      </c>
      <c r="H5" s="460" t="s">
        <v>324</v>
      </c>
      <c r="I5" s="460"/>
      <c r="J5" s="460" t="s">
        <v>325</v>
      </c>
      <c r="K5" s="460" t="s">
        <v>326</v>
      </c>
      <c r="L5" s="460"/>
    </row>
    <row r="6" spans="1:12" ht="60">
      <c r="A6" s="460"/>
      <c r="B6" s="460"/>
      <c r="C6" s="460"/>
      <c r="D6" s="305" t="s">
        <v>130</v>
      </c>
      <c r="E6" s="305" t="s">
        <v>433</v>
      </c>
      <c r="F6" s="460"/>
      <c r="G6" s="460"/>
      <c r="H6" s="305" t="s">
        <v>130</v>
      </c>
      <c r="I6" s="305" t="s">
        <v>433</v>
      </c>
      <c r="J6" s="460"/>
      <c r="K6" s="460"/>
      <c r="L6" s="460"/>
    </row>
    <row r="7" spans="1:12" ht="15">
      <c r="A7" s="305" t="s">
        <v>1</v>
      </c>
      <c r="B7" s="305" t="s">
        <v>6</v>
      </c>
      <c r="C7" s="306" t="s">
        <v>51</v>
      </c>
      <c r="D7" s="306" t="s">
        <v>52</v>
      </c>
      <c r="E7" s="306" t="s">
        <v>53</v>
      </c>
      <c r="F7" s="306" t="s">
        <v>54</v>
      </c>
      <c r="G7" s="306" t="s">
        <v>327</v>
      </c>
      <c r="H7" s="306" t="s">
        <v>300</v>
      </c>
      <c r="I7" s="306" t="s">
        <v>301</v>
      </c>
      <c r="J7" s="306" t="s">
        <v>302</v>
      </c>
      <c r="K7" s="306" t="s">
        <v>328</v>
      </c>
      <c r="L7" s="306" t="s">
        <v>329</v>
      </c>
    </row>
    <row r="8" spans="1:12" ht="15">
      <c r="A8" s="310">
        <v>1</v>
      </c>
      <c r="B8" s="311" t="s">
        <v>427</v>
      </c>
      <c r="C8" s="312">
        <v>25769.722822</v>
      </c>
      <c r="D8" s="312">
        <f>'[4]B45'!I8</f>
        <v>16000</v>
      </c>
      <c r="E8" s="312">
        <f>'[4]B45'!J8</f>
        <v>2000</v>
      </c>
      <c r="F8" s="312">
        <f>'[4]B45'!K8</f>
        <v>15000</v>
      </c>
      <c r="G8" s="312">
        <f>C8+D8-F8</f>
        <v>26769.722821999996</v>
      </c>
      <c r="H8" s="312">
        <f>46224</f>
        <v>46224</v>
      </c>
      <c r="I8" s="312">
        <f>2500+1000</f>
        <v>3500</v>
      </c>
      <c r="J8" s="312">
        <v>24723</v>
      </c>
      <c r="K8" s="312">
        <f aca="true" t="shared" si="0" ref="K8:K15">H8-J8</f>
        <v>21501</v>
      </c>
      <c r="L8" s="312">
        <f aca="true" t="shared" si="1" ref="L8:L15">C8+H8-J8</f>
        <v>47270.722821999996</v>
      </c>
    </row>
    <row r="9" spans="1:12" ht="15">
      <c r="A9" s="270">
        <v>2</v>
      </c>
      <c r="B9" s="313" t="s">
        <v>426</v>
      </c>
      <c r="C9" s="314">
        <f>99+1040</f>
        <v>1139</v>
      </c>
      <c r="D9" s="314">
        <f>326</f>
        <v>326</v>
      </c>
      <c r="E9" s="314"/>
      <c r="F9" s="314">
        <f>7+359</f>
        <v>366</v>
      </c>
      <c r="G9" s="314">
        <f aca="true" t="shared" si="2" ref="G9:G15">C9+D9-F9</f>
        <v>1099</v>
      </c>
      <c r="H9" s="314">
        <f>372</f>
        <v>372</v>
      </c>
      <c r="I9" s="314"/>
      <c r="J9" s="314">
        <f>7+354</f>
        <v>361</v>
      </c>
      <c r="K9" s="314">
        <f t="shared" si="0"/>
        <v>11</v>
      </c>
      <c r="L9" s="314">
        <f t="shared" si="1"/>
        <v>1150</v>
      </c>
    </row>
    <row r="10" spans="1:12" ht="30" hidden="1">
      <c r="A10" s="270">
        <v>3</v>
      </c>
      <c r="B10" s="313" t="s">
        <v>429</v>
      </c>
      <c r="C10" s="314"/>
      <c r="D10" s="314"/>
      <c r="E10" s="314"/>
      <c r="F10" s="314"/>
      <c r="G10" s="314">
        <f t="shared" si="2"/>
        <v>0</v>
      </c>
      <c r="H10" s="314"/>
      <c r="I10" s="314"/>
      <c r="J10" s="314"/>
      <c r="K10" s="314">
        <f t="shared" si="0"/>
        <v>0</v>
      </c>
      <c r="L10" s="314">
        <f t="shared" si="1"/>
        <v>0</v>
      </c>
    </row>
    <row r="11" spans="1:12" ht="15" hidden="1">
      <c r="A11" s="270">
        <v>4</v>
      </c>
      <c r="B11" s="313" t="s">
        <v>423</v>
      </c>
      <c r="C11" s="314"/>
      <c r="D11" s="314"/>
      <c r="E11" s="314"/>
      <c r="F11" s="314"/>
      <c r="G11" s="314">
        <f t="shared" si="2"/>
        <v>0</v>
      </c>
      <c r="H11" s="314"/>
      <c r="I11" s="314"/>
      <c r="J11" s="314"/>
      <c r="K11" s="314">
        <f t="shared" si="0"/>
        <v>0</v>
      </c>
      <c r="L11" s="314">
        <f t="shared" si="1"/>
        <v>0</v>
      </c>
    </row>
    <row r="12" spans="1:12" ht="15" hidden="1">
      <c r="A12" s="270">
        <v>5</v>
      </c>
      <c r="B12" s="313" t="s">
        <v>424</v>
      </c>
      <c r="C12" s="314"/>
      <c r="D12" s="314"/>
      <c r="E12" s="314"/>
      <c r="F12" s="314"/>
      <c r="G12" s="314">
        <f t="shared" si="2"/>
        <v>0</v>
      </c>
      <c r="H12" s="314"/>
      <c r="I12" s="314"/>
      <c r="J12" s="314"/>
      <c r="K12" s="314">
        <f t="shared" si="0"/>
        <v>0</v>
      </c>
      <c r="L12" s="314">
        <f t="shared" si="1"/>
        <v>0</v>
      </c>
    </row>
    <row r="13" spans="1:12" ht="30" hidden="1">
      <c r="A13" s="270">
        <v>6</v>
      </c>
      <c r="B13" s="313" t="s">
        <v>428</v>
      </c>
      <c r="C13" s="314"/>
      <c r="D13" s="314"/>
      <c r="E13" s="314"/>
      <c r="F13" s="314"/>
      <c r="G13" s="314">
        <f t="shared" si="2"/>
        <v>0</v>
      </c>
      <c r="H13" s="314"/>
      <c r="I13" s="314"/>
      <c r="J13" s="314"/>
      <c r="K13" s="314">
        <f t="shared" si="0"/>
        <v>0</v>
      </c>
      <c r="L13" s="314">
        <f t="shared" si="1"/>
        <v>0</v>
      </c>
    </row>
    <row r="14" spans="1:12" ht="15" hidden="1">
      <c r="A14" s="270">
        <v>7</v>
      </c>
      <c r="B14" s="313" t="s">
        <v>425</v>
      </c>
      <c r="C14" s="314"/>
      <c r="D14" s="314"/>
      <c r="E14" s="314"/>
      <c r="F14" s="314"/>
      <c r="G14" s="314">
        <f t="shared" si="2"/>
        <v>0</v>
      </c>
      <c r="H14" s="314"/>
      <c r="I14" s="314"/>
      <c r="J14" s="314"/>
      <c r="K14" s="314">
        <f t="shared" si="0"/>
        <v>0</v>
      </c>
      <c r="L14" s="314">
        <f t="shared" si="1"/>
        <v>0</v>
      </c>
    </row>
    <row r="15" spans="1:12" ht="15">
      <c r="A15" s="270"/>
      <c r="B15" s="313"/>
      <c r="C15" s="314"/>
      <c r="D15" s="314"/>
      <c r="E15" s="314"/>
      <c r="F15" s="314"/>
      <c r="G15" s="314">
        <f t="shared" si="2"/>
        <v>0</v>
      </c>
      <c r="H15" s="314"/>
      <c r="I15" s="314"/>
      <c r="J15" s="314"/>
      <c r="K15" s="314">
        <f t="shared" si="0"/>
        <v>0</v>
      </c>
      <c r="L15" s="314">
        <f t="shared" si="1"/>
        <v>0</v>
      </c>
    </row>
    <row r="16" spans="1:12" ht="15">
      <c r="A16" s="307"/>
      <c r="B16" s="308" t="s">
        <v>330</v>
      </c>
      <c r="C16" s="309">
        <f>SUM(C8:C15)</f>
        <v>26908.722822</v>
      </c>
      <c r="D16" s="309">
        <f aca="true" t="shared" si="3" ref="D16:L16">SUM(D8:D15)</f>
        <v>16326</v>
      </c>
      <c r="E16" s="309">
        <f t="shared" si="3"/>
        <v>2000</v>
      </c>
      <c r="F16" s="309">
        <f t="shared" si="3"/>
        <v>15366</v>
      </c>
      <c r="G16" s="309">
        <f t="shared" si="3"/>
        <v>27868.722821999996</v>
      </c>
      <c r="H16" s="309">
        <f t="shared" si="3"/>
        <v>46596</v>
      </c>
      <c r="I16" s="309">
        <f t="shared" si="3"/>
        <v>3500</v>
      </c>
      <c r="J16" s="309">
        <f t="shared" si="3"/>
        <v>25084</v>
      </c>
      <c r="K16" s="309">
        <f t="shared" si="3"/>
        <v>21512</v>
      </c>
      <c r="L16" s="309">
        <f t="shared" si="3"/>
        <v>48420.722821999996</v>
      </c>
    </row>
  </sheetData>
  <sheetProtection/>
  <mergeCells count="13">
    <mergeCell ref="D5:E5"/>
    <mergeCell ref="F5:F6"/>
    <mergeCell ref="G5:G6"/>
    <mergeCell ref="H5:I5"/>
    <mergeCell ref="J5:J6"/>
    <mergeCell ref="K5:K6"/>
    <mergeCell ref="A2:L2"/>
    <mergeCell ref="A4:A6"/>
    <mergeCell ref="B4:B6"/>
    <mergeCell ref="C4:C6"/>
    <mergeCell ref="D4:G4"/>
    <mergeCell ref="H4:K4"/>
    <mergeCell ref="L4:L6"/>
  </mergeCells>
  <printOptions horizontalCentered="1"/>
  <pageMargins left="0.5" right="0.5"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F78"/>
  <sheetViews>
    <sheetView showZeros="0" zoomScale="120" zoomScaleNormal="120" workbookViewId="0" topLeftCell="A1">
      <selection activeCell="A1" sqref="A1"/>
    </sheetView>
  </sheetViews>
  <sheetFormatPr defaultColWidth="9.140625" defaultRowHeight="15"/>
  <cols>
    <col min="1" max="1" width="6.00390625" style="160" customWidth="1"/>
    <col min="2" max="2" width="44.28125" style="160" customWidth="1"/>
    <col min="3" max="4" width="13.421875" style="160" customWidth="1"/>
    <col min="5" max="5" width="12.57421875" style="160" customWidth="1"/>
    <col min="6" max="16384" width="9.140625" style="160" customWidth="1"/>
  </cols>
  <sheetData>
    <row r="1" ht="15.75">
      <c r="E1" s="188" t="s">
        <v>331</v>
      </c>
    </row>
    <row r="2" spans="1:5" ht="15.75">
      <c r="A2" s="441" t="s">
        <v>471</v>
      </c>
      <c r="B2" s="441"/>
      <c r="C2" s="441"/>
      <c r="D2" s="441"/>
      <c r="E2" s="441"/>
    </row>
    <row r="3" spans="1:5" ht="15.75">
      <c r="A3" s="441" t="s">
        <v>332</v>
      </c>
      <c r="B3" s="441"/>
      <c r="C3" s="441"/>
      <c r="D3" s="441"/>
      <c r="E3" s="441"/>
    </row>
    <row r="4" ht="15.75">
      <c r="E4" s="161" t="s">
        <v>10</v>
      </c>
    </row>
    <row r="5" spans="1:5" ht="47.25">
      <c r="A5" s="211" t="s">
        <v>0</v>
      </c>
      <c r="B5" s="211" t="s">
        <v>9</v>
      </c>
      <c r="C5" s="211" t="s">
        <v>441</v>
      </c>
      <c r="D5" s="211" t="s">
        <v>449</v>
      </c>
      <c r="E5" s="211" t="s">
        <v>50</v>
      </c>
    </row>
    <row r="6" spans="1:5" ht="15.75">
      <c r="A6" s="159" t="s">
        <v>1</v>
      </c>
      <c r="B6" s="159" t="s">
        <v>6</v>
      </c>
      <c r="C6" s="202" t="s">
        <v>51</v>
      </c>
      <c r="D6" s="202" t="s">
        <v>52</v>
      </c>
      <c r="E6" s="202" t="s">
        <v>333</v>
      </c>
    </row>
    <row r="7" spans="1:5" s="207" customFormat="1" ht="15.75">
      <c r="A7" s="372"/>
      <c r="B7" s="373" t="s">
        <v>149</v>
      </c>
      <c r="C7" s="374">
        <f>SUM(C8,C65,C66,C69,C72,C73,C75)</f>
        <v>327271.55600000004</v>
      </c>
      <c r="D7" s="374">
        <f>SUM(D8,D65,D66,D69,D72,D73,D75)</f>
        <v>317879</v>
      </c>
      <c r="E7" s="375">
        <f>D7/C7*100</f>
        <v>97.13004206207275</v>
      </c>
    </row>
    <row r="8" spans="1:5" s="207" customFormat="1" ht="15.75">
      <c r="A8" s="159">
        <v>1</v>
      </c>
      <c r="B8" s="376" t="s">
        <v>334</v>
      </c>
      <c r="C8" s="377">
        <f>SUM(C9,C63)</f>
        <v>182019.55600000004</v>
      </c>
      <c r="D8" s="377">
        <f>SUM(D9,D63)</f>
        <v>180240</v>
      </c>
      <c r="E8" s="378">
        <f>D8/C8*100</f>
        <v>99.02232702951981</v>
      </c>
    </row>
    <row r="9" spans="1:5" s="207" customFormat="1" ht="15.75">
      <c r="A9" s="159" t="s">
        <v>388</v>
      </c>
      <c r="B9" s="379" t="s">
        <v>335</v>
      </c>
      <c r="C9" s="380">
        <f>SUM(C10:C62)</f>
        <v>181519.55600000004</v>
      </c>
      <c r="D9" s="380">
        <f>SUM(D10:D62)</f>
        <v>179590</v>
      </c>
      <c r="E9" s="381">
        <f>D9/C9*100</f>
        <v>98.93699828133117</v>
      </c>
    </row>
    <row r="10" spans="1:5" s="207" customFormat="1" ht="15.75">
      <c r="A10" s="382"/>
      <c r="B10" s="383" t="s">
        <v>267</v>
      </c>
      <c r="C10" s="380">
        <v>4041</v>
      </c>
      <c r="D10" s="380">
        <v>3711</v>
      </c>
      <c r="E10" s="381">
        <f aca="true" t="shared" si="0" ref="E10:E49">D10/C10*100</f>
        <v>91.83370452858203</v>
      </c>
    </row>
    <row r="11" spans="1:5" s="207" customFormat="1" ht="15.75">
      <c r="A11" s="382"/>
      <c r="B11" s="383" t="s">
        <v>268</v>
      </c>
      <c r="C11" s="380">
        <v>3288</v>
      </c>
      <c r="D11" s="380">
        <v>3075</v>
      </c>
      <c r="E11" s="381">
        <f t="shared" si="0"/>
        <v>93.52189781021897</v>
      </c>
    </row>
    <row r="12" spans="1:5" s="207" customFormat="1" ht="15.75">
      <c r="A12" s="382"/>
      <c r="B12" s="383" t="s">
        <v>400</v>
      </c>
      <c r="C12" s="380">
        <v>2336</v>
      </c>
      <c r="D12" s="380">
        <v>2305</v>
      </c>
      <c r="E12" s="381">
        <f t="shared" si="0"/>
        <v>98.67294520547945</v>
      </c>
    </row>
    <row r="13" spans="1:5" s="207" customFormat="1" ht="15.75">
      <c r="A13" s="382"/>
      <c r="B13" s="383" t="s">
        <v>270</v>
      </c>
      <c r="C13" s="380">
        <v>3719</v>
      </c>
      <c r="D13" s="380">
        <v>3236</v>
      </c>
      <c r="E13" s="381">
        <f t="shared" si="0"/>
        <v>87.01263780586179</v>
      </c>
    </row>
    <row r="14" spans="1:5" s="207" customFormat="1" ht="15.75">
      <c r="A14" s="382"/>
      <c r="B14" s="383" t="s">
        <v>271</v>
      </c>
      <c r="C14" s="380">
        <v>2627</v>
      </c>
      <c r="D14" s="380">
        <v>2649</v>
      </c>
      <c r="E14" s="381">
        <f t="shared" si="0"/>
        <v>100.83745717548534</v>
      </c>
    </row>
    <row r="15" spans="1:5" s="207" customFormat="1" ht="15.75">
      <c r="A15" s="382"/>
      <c r="B15" s="383" t="s">
        <v>272</v>
      </c>
      <c r="C15" s="380">
        <v>9003</v>
      </c>
      <c r="D15" s="380">
        <v>9039</v>
      </c>
      <c r="E15" s="381">
        <f t="shared" si="0"/>
        <v>100.39986671109631</v>
      </c>
    </row>
    <row r="16" spans="1:5" s="207" customFormat="1" ht="15.75">
      <c r="A16" s="382"/>
      <c r="B16" s="383" t="s">
        <v>273</v>
      </c>
      <c r="C16" s="380">
        <v>4142</v>
      </c>
      <c r="D16" s="380">
        <v>3977</v>
      </c>
      <c r="E16" s="381">
        <f t="shared" si="0"/>
        <v>96.0164171897634</v>
      </c>
    </row>
    <row r="17" spans="1:5" s="207" customFormat="1" ht="15.75">
      <c r="A17" s="382"/>
      <c r="B17" s="383" t="s">
        <v>274</v>
      </c>
      <c r="C17" s="380">
        <v>3001</v>
      </c>
      <c r="D17" s="380">
        <v>3227</v>
      </c>
      <c r="E17" s="381">
        <f t="shared" si="0"/>
        <v>107.53082305898035</v>
      </c>
    </row>
    <row r="18" spans="1:5" s="207" customFormat="1" ht="15.75">
      <c r="A18" s="382"/>
      <c r="B18" s="383" t="s">
        <v>275</v>
      </c>
      <c r="C18" s="380">
        <v>2484</v>
      </c>
      <c r="D18" s="380">
        <v>2445</v>
      </c>
      <c r="E18" s="381">
        <f t="shared" si="0"/>
        <v>98.42995169082126</v>
      </c>
    </row>
    <row r="19" spans="1:5" s="207" customFormat="1" ht="15.75">
      <c r="A19" s="382"/>
      <c r="B19" s="383" t="s">
        <v>276</v>
      </c>
      <c r="C19" s="380">
        <v>2385</v>
      </c>
      <c r="D19" s="380">
        <v>2620</v>
      </c>
      <c r="E19" s="381">
        <f t="shared" si="0"/>
        <v>109.85324947589099</v>
      </c>
    </row>
    <row r="20" spans="1:5" s="207" customFormat="1" ht="15.75">
      <c r="A20" s="382"/>
      <c r="B20" s="383" t="s">
        <v>277</v>
      </c>
      <c r="C20" s="380">
        <v>2167</v>
      </c>
      <c r="D20" s="380">
        <v>1828</v>
      </c>
      <c r="E20" s="381">
        <f t="shared" si="0"/>
        <v>84.35625288417167</v>
      </c>
    </row>
    <row r="21" spans="1:5" s="207" customFormat="1" ht="15.75">
      <c r="A21" s="382"/>
      <c r="B21" s="383" t="s">
        <v>401</v>
      </c>
      <c r="C21" s="380">
        <v>1670</v>
      </c>
      <c r="D21" s="380">
        <v>2119</v>
      </c>
      <c r="E21" s="381">
        <f t="shared" si="0"/>
        <v>126.88622754491018</v>
      </c>
    </row>
    <row r="22" spans="1:5" s="207" customFormat="1" ht="15.75">
      <c r="A22" s="382"/>
      <c r="B22" s="383" t="s">
        <v>279</v>
      </c>
      <c r="C22" s="380">
        <v>1510</v>
      </c>
      <c r="D22" s="380">
        <v>1307</v>
      </c>
      <c r="E22" s="381">
        <f t="shared" si="0"/>
        <v>86.55629139072848</v>
      </c>
    </row>
    <row r="23" spans="1:5" s="207" customFormat="1" ht="15.75">
      <c r="A23" s="382"/>
      <c r="B23" s="383" t="s">
        <v>402</v>
      </c>
      <c r="C23" s="380">
        <v>2160</v>
      </c>
      <c r="D23" s="380">
        <v>2040</v>
      </c>
      <c r="E23" s="381">
        <f t="shared" si="0"/>
        <v>94.44444444444444</v>
      </c>
    </row>
    <row r="24" spans="1:5" s="207" customFormat="1" ht="15.75">
      <c r="A24" s="382"/>
      <c r="B24" s="383" t="s">
        <v>281</v>
      </c>
      <c r="C24" s="380">
        <v>1665</v>
      </c>
      <c r="D24" s="380">
        <v>1246</v>
      </c>
      <c r="E24" s="381">
        <f t="shared" si="0"/>
        <v>74.83483483483484</v>
      </c>
    </row>
    <row r="25" spans="1:5" s="207" customFormat="1" ht="15.75">
      <c r="A25" s="382"/>
      <c r="B25" s="383" t="s">
        <v>282</v>
      </c>
      <c r="C25" s="380">
        <v>1873</v>
      </c>
      <c r="D25" s="380">
        <v>1960</v>
      </c>
      <c r="E25" s="381">
        <f t="shared" si="0"/>
        <v>104.64495461825946</v>
      </c>
    </row>
    <row r="26" spans="1:5" s="207" customFormat="1" ht="15.75">
      <c r="A26" s="382"/>
      <c r="B26" s="383" t="s">
        <v>297</v>
      </c>
      <c r="C26" s="380">
        <v>1689</v>
      </c>
      <c r="D26" s="380">
        <v>2199</v>
      </c>
      <c r="E26" s="381">
        <f t="shared" si="0"/>
        <v>130.19538188277087</v>
      </c>
    </row>
    <row r="27" spans="1:5" s="207" customFormat="1" ht="15.75">
      <c r="A27" s="382"/>
      <c r="B27" s="383" t="s">
        <v>283</v>
      </c>
      <c r="C27" s="380">
        <v>2935</v>
      </c>
      <c r="D27" s="380">
        <v>3035</v>
      </c>
      <c r="E27" s="381">
        <f t="shared" si="0"/>
        <v>103.40715502555366</v>
      </c>
    </row>
    <row r="28" spans="1:5" s="207" customFormat="1" ht="15.75">
      <c r="A28" s="382"/>
      <c r="B28" s="379" t="s">
        <v>405</v>
      </c>
      <c r="C28" s="380">
        <v>1680.3</v>
      </c>
      <c r="D28" s="380">
        <v>1675</v>
      </c>
      <c r="E28" s="381">
        <f t="shared" si="0"/>
        <v>99.68458013449978</v>
      </c>
    </row>
    <row r="29" spans="1:5" s="207" customFormat="1" ht="15.75">
      <c r="A29" s="382"/>
      <c r="B29" s="379" t="s">
        <v>422</v>
      </c>
      <c r="C29" s="380">
        <v>2470.1</v>
      </c>
      <c r="D29" s="380">
        <v>2434</v>
      </c>
      <c r="E29" s="381">
        <f t="shared" si="0"/>
        <v>98.53852070766365</v>
      </c>
    </row>
    <row r="30" spans="1:5" s="207" customFormat="1" ht="15.75">
      <c r="A30" s="382"/>
      <c r="B30" s="379" t="s">
        <v>406</v>
      </c>
      <c r="C30" s="380">
        <v>5925.85</v>
      </c>
      <c r="D30" s="380">
        <v>5875</v>
      </c>
      <c r="E30" s="381">
        <f t="shared" si="0"/>
        <v>99.14189525553296</v>
      </c>
    </row>
    <row r="31" spans="1:5" s="207" customFormat="1" ht="15.75">
      <c r="A31" s="382"/>
      <c r="B31" s="379" t="s">
        <v>420</v>
      </c>
      <c r="C31" s="380">
        <v>2994.5</v>
      </c>
      <c r="D31" s="380">
        <v>2962</v>
      </c>
      <c r="E31" s="381">
        <f t="shared" si="0"/>
        <v>98.91467690766405</v>
      </c>
    </row>
    <row r="32" spans="1:5" s="207" customFormat="1" ht="15.75">
      <c r="A32" s="382"/>
      <c r="B32" s="379" t="s">
        <v>414</v>
      </c>
      <c r="C32" s="380">
        <v>3088.5</v>
      </c>
      <c r="D32" s="380">
        <v>3056</v>
      </c>
      <c r="E32" s="381">
        <f t="shared" si="0"/>
        <v>98.94770924396956</v>
      </c>
    </row>
    <row r="33" spans="1:5" s="207" customFormat="1" ht="15.75">
      <c r="A33" s="382"/>
      <c r="B33" s="379" t="s">
        <v>419</v>
      </c>
      <c r="C33" s="380">
        <v>3771</v>
      </c>
      <c r="D33" s="380">
        <v>3760</v>
      </c>
      <c r="E33" s="381">
        <f t="shared" si="0"/>
        <v>99.70830018562715</v>
      </c>
    </row>
    <row r="34" spans="1:5" s="207" customFormat="1" ht="15.75">
      <c r="A34" s="382"/>
      <c r="B34" s="379" t="s">
        <v>444</v>
      </c>
      <c r="C34" s="380">
        <v>9030.69</v>
      </c>
      <c r="D34" s="380">
        <v>8569</v>
      </c>
      <c r="E34" s="381">
        <f t="shared" si="0"/>
        <v>94.8875445840794</v>
      </c>
    </row>
    <row r="35" spans="1:5" s="207" customFormat="1" ht="15.75">
      <c r="A35" s="382"/>
      <c r="B35" s="379" t="s">
        <v>407</v>
      </c>
      <c r="C35" s="380">
        <v>3089</v>
      </c>
      <c r="D35" s="380">
        <v>3058</v>
      </c>
      <c r="E35" s="381">
        <f t="shared" si="0"/>
        <v>98.99643897701522</v>
      </c>
    </row>
    <row r="36" spans="1:5" s="207" customFormat="1" ht="15.75">
      <c r="A36" s="382"/>
      <c r="B36" s="379" t="s">
        <v>417</v>
      </c>
      <c r="C36" s="380">
        <v>2724.7</v>
      </c>
      <c r="D36" s="380">
        <v>2717</v>
      </c>
      <c r="E36" s="381">
        <f t="shared" si="0"/>
        <v>99.71740008074285</v>
      </c>
    </row>
    <row r="37" spans="1:5" s="207" customFormat="1" ht="15.75">
      <c r="A37" s="382"/>
      <c r="B37" s="379" t="s">
        <v>408</v>
      </c>
      <c r="C37" s="380">
        <v>7153.45</v>
      </c>
      <c r="D37" s="380">
        <v>7127</v>
      </c>
      <c r="E37" s="381">
        <f t="shared" si="0"/>
        <v>99.63024834170925</v>
      </c>
    </row>
    <row r="38" spans="1:5" s="207" customFormat="1" ht="15.75">
      <c r="A38" s="382"/>
      <c r="B38" s="379" t="s">
        <v>415</v>
      </c>
      <c r="C38" s="380">
        <v>4974.3</v>
      </c>
      <c r="D38" s="380">
        <v>4941</v>
      </c>
      <c r="E38" s="381">
        <f t="shared" si="0"/>
        <v>99.3305590736385</v>
      </c>
    </row>
    <row r="39" spans="1:5" s="207" customFormat="1" ht="15.75">
      <c r="A39" s="382"/>
      <c r="B39" s="379" t="s">
        <v>409</v>
      </c>
      <c r="C39" s="380">
        <v>3195</v>
      </c>
      <c r="D39" s="380">
        <v>3193</v>
      </c>
      <c r="E39" s="381">
        <f t="shared" si="0"/>
        <v>99.93740219092332</v>
      </c>
    </row>
    <row r="40" spans="1:5" s="207" customFormat="1" ht="15.75">
      <c r="A40" s="382"/>
      <c r="B40" s="379" t="s">
        <v>416</v>
      </c>
      <c r="C40" s="380">
        <v>2334.5</v>
      </c>
      <c r="D40" s="380">
        <v>2307</v>
      </c>
      <c r="E40" s="381">
        <f t="shared" si="0"/>
        <v>98.82201756264725</v>
      </c>
    </row>
    <row r="41" spans="1:5" s="207" customFormat="1" ht="15.75">
      <c r="A41" s="382"/>
      <c r="B41" s="379" t="s">
        <v>410</v>
      </c>
      <c r="C41" s="380">
        <v>1995.825</v>
      </c>
      <c r="D41" s="380">
        <v>1960</v>
      </c>
      <c r="E41" s="381">
        <f t="shared" si="0"/>
        <v>98.20500294364486</v>
      </c>
    </row>
    <row r="42" spans="1:5" s="207" customFormat="1" ht="15.75">
      <c r="A42" s="382"/>
      <c r="B42" s="379" t="s">
        <v>404</v>
      </c>
      <c r="C42" s="380">
        <v>949.0600000000001</v>
      </c>
      <c r="D42" s="380">
        <v>944</v>
      </c>
      <c r="E42" s="381">
        <f t="shared" si="0"/>
        <v>99.46684087412808</v>
      </c>
    </row>
    <row r="43" spans="1:5" s="207" customFormat="1" ht="15.75">
      <c r="A43" s="382"/>
      <c r="B43" s="379" t="s">
        <v>411</v>
      </c>
      <c r="C43" s="380">
        <v>4435.5</v>
      </c>
      <c r="D43" s="380">
        <v>4403</v>
      </c>
      <c r="E43" s="381">
        <f t="shared" si="0"/>
        <v>99.26727539172585</v>
      </c>
    </row>
    <row r="44" spans="1:5" s="207" customFormat="1" ht="15.75">
      <c r="A44" s="382"/>
      <c r="B44" s="379" t="s">
        <v>412</v>
      </c>
      <c r="C44" s="380">
        <v>6049.2</v>
      </c>
      <c r="D44" s="380">
        <v>6040</v>
      </c>
      <c r="E44" s="381">
        <f t="shared" si="0"/>
        <v>99.84791377372215</v>
      </c>
    </row>
    <row r="45" spans="1:5" s="207" customFormat="1" ht="15.75">
      <c r="A45" s="382"/>
      <c r="B45" s="379" t="s">
        <v>421</v>
      </c>
      <c r="C45" s="380">
        <v>668.4</v>
      </c>
      <c r="D45" s="380">
        <v>665</v>
      </c>
      <c r="E45" s="381">
        <f t="shared" si="0"/>
        <v>99.49132256134052</v>
      </c>
    </row>
    <row r="46" spans="1:5" s="207" customFormat="1" ht="15.75">
      <c r="A46" s="382"/>
      <c r="B46" s="379" t="s">
        <v>413</v>
      </c>
      <c r="C46" s="380">
        <v>3186.8</v>
      </c>
      <c r="D46" s="380">
        <v>3256</v>
      </c>
      <c r="E46" s="381">
        <f t="shared" si="0"/>
        <v>102.17145726120245</v>
      </c>
    </row>
    <row r="47" spans="1:5" s="207" customFormat="1" ht="15.75">
      <c r="A47" s="382"/>
      <c r="B47" s="379" t="s">
        <v>418</v>
      </c>
      <c r="C47" s="380">
        <v>2347.02</v>
      </c>
      <c r="D47" s="380">
        <v>2341</v>
      </c>
      <c r="E47" s="381">
        <f t="shared" si="0"/>
        <v>99.7435045291476</v>
      </c>
    </row>
    <row r="48" spans="1:5" s="207" customFormat="1" ht="15.75">
      <c r="A48" s="382"/>
      <c r="B48" s="379" t="s">
        <v>445</v>
      </c>
      <c r="C48" s="380">
        <v>6423.7</v>
      </c>
      <c r="D48" s="380">
        <v>6379</v>
      </c>
      <c r="E48" s="381">
        <f t="shared" si="0"/>
        <v>99.30413935893644</v>
      </c>
    </row>
    <row r="49" spans="1:5" s="207" customFormat="1" ht="15.75">
      <c r="A49" s="382"/>
      <c r="B49" s="379" t="s">
        <v>284</v>
      </c>
      <c r="C49" s="380">
        <v>92.05</v>
      </c>
      <c r="D49" s="380">
        <v>92</v>
      </c>
      <c r="E49" s="381">
        <f t="shared" si="0"/>
        <v>99.94568169473112</v>
      </c>
    </row>
    <row r="50" spans="1:6" s="207" customFormat="1" ht="15.75">
      <c r="A50" s="382"/>
      <c r="B50" s="384" t="s">
        <v>286</v>
      </c>
      <c r="C50" s="380">
        <v>3540.38</v>
      </c>
      <c r="D50" s="380">
        <v>2734</v>
      </c>
      <c r="E50" s="381">
        <f aca="true" t="shared" si="1" ref="E50:E62">D50/C50*100</f>
        <v>77.22334890604962</v>
      </c>
      <c r="F50" s="228"/>
    </row>
    <row r="51" spans="1:6" s="207" customFormat="1" ht="15.75">
      <c r="A51" s="382"/>
      <c r="B51" s="384" t="s">
        <v>285</v>
      </c>
      <c r="C51" s="380">
        <v>1687.022</v>
      </c>
      <c r="D51" s="380">
        <v>1648</v>
      </c>
      <c r="E51" s="381">
        <f t="shared" si="1"/>
        <v>97.6869299866866</v>
      </c>
      <c r="F51" s="228"/>
    </row>
    <row r="52" spans="1:6" s="207" customFormat="1" ht="15.75">
      <c r="A52" s="382"/>
      <c r="B52" s="384" t="s">
        <v>287</v>
      </c>
      <c r="C52" s="380">
        <v>7759.219</v>
      </c>
      <c r="D52" s="380">
        <v>7516</v>
      </c>
      <c r="E52" s="381">
        <f t="shared" si="1"/>
        <v>96.86541905828409</v>
      </c>
      <c r="F52" s="228"/>
    </row>
    <row r="53" spans="1:6" s="207" customFormat="1" ht="15.75">
      <c r="A53" s="382"/>
      <c r="B53" s="384" t="s">
        <v>288</v>
      </c>
      <c r="C53" s="380">
        <v>2775.4</v>
      </c>
      <c r="D53" s="380">
        <v>2833</v>
      </c>
      <c r="E53" s="381">
        <f t="shared" si="1"/>
        <v>102.0753765223031</v>
      </c>
      <c r="F53" s="228"/>
    </row>
    <row r="54" spans="1:6" s="207" customFormat="1" ht="15.75">
      <c r="A54" s="382"/>
      <c r="B54" s="384" t="s">
        <v>397</v>
      </c>
      <c r="C54" s="380">
        <v>1996.1</v>
      </c>
      <c r="D54" s="380">
        <v>1750</v>
      </c>
      <c r="E54" s="381">
        <f t="shared" si="1"/>
        <v>87.6709583688192</v>
      </c>
      <c r="F54" s="228"/>
    </row>
    <row r="55" spans="1:6" s="207" customFormat="1" ht="15.75">
      <c r="A55" s="382"/>
      <c r="B55" s="384" t="s">
        <v>292</v>
      </c>
      <c r="C55" s="380">
        <v>4982.026</v>
      </c>
      <c r="D55" s="380">
        <v>4649</v>
      </c>
      <c r="E55" s="381">
        <f t="shared" si="1"/>
        <v>93.31545038102973</v>
      </c>
      <c r="F55" s="228"/>
    </row>
    <row r="56" spans="1:6" s="207" customFormat="1" ht="15.75">
      <c r="A56" s="382"/>
      <c r="B56" s="384" t="s">
        <v>291</v>
      </c>
      <c r="C56" s="380">
        <v>3150.89</v>
      </c>
      <c r="D56" s="380">
        <v>2704</v>
      </c>
      <c r="E56" s="381">
        <f t="shared" si="1"/>
        <v>85.8170231267991</v>
      </c>
      <c r="F56" s="228"/>
    </row>
    <row r="57" spans="1:6" s="207" customFormat="1" ht="15.75">
      <c r="A57" s="382"/>
      <c r="B57" s="384" t="s">
        <v>293</v>
      </c>
      <c r="C57" s="380">
        <v>1602.482</v>
      </c>
      <c r="D57" s="380">
        <v>1474</v>
      </c>
      <c r="E57" s="381">
        <f t="shared" si="1"/>
        <v>91.98231243783081</v>
      </c>
      <c r="F57" s="228"/>
    </row>
    <row r="58" spans="1:6" s="207" customFormat="1" ht="15.75">
      <c r="A58" s="382"/>
      <c r="B58" s="384" t="s">
        <v>289</v>
      </c>
      <c r="C58" s="380">
        <v>3362.947</v>
      </c>
      <c r="D58" s="380">
        <v>3621</v>
      </c>
      <c r="E58" s="381">
        <f t="shared" si="1"/>
        <v>107.67341858197585</v>
      </c>
      <c r="F58" s="228"/>
    </row>
    <row r="59" spans="1:6" s="207" customFormat="1" ht="15.75">
      <c r="A59" s="382"/>
      <c r="B59" s="384" t="s">
        <v>290</v>
      </c>
      <c r="C59" s="380">
        <v>4319.625</v>
      </c>
      <c r="D59" s="380">
        <v>3852</v>
      </c>
      <c r="E59" s="381">
        <f t="shared" si="1"/>
        <v>89.1744075006511</v>
      </c>
      <c r="F59" s="228"/>
    </row>
    <row r="60" spans="1:6" s="207" customFormat="1" ht="15.75">
      <c r="A60" s="382"/>
      <c r="B60" s="384" t="s">
        <v>294</v>
      </c>
      <c r="C60" s="380">
        <v>11915.04</v>
      </c>
      <c r="D60" s="380">
        <v>13588</v>
      </c>
      <c r="E60" s="381">
        <f t="shared" si="1"/>
        <v>114.04074178517234</v>
      </c>
      <c r="F60" s="228"/>
    </row>
    <row r="61" spans="1:6" s="207" customFormat="1" ht="15.75">
      <c r="A61" s="382"/>
      <c r="B61" s="384" t="s">
        <v>295</v>
      </c>
      <c r="C61" s="380">
        <v>2040.98</v>
      </c>
      <c r="D61" s="380">
        <v>2331</v>
      </c>
      <c r="E61" s="381">
        <f t="shared" si="1"/>
        <v>114.20984037080227</v>
      </c>
      <c r="F61" s="228"/>
    </row>
    <row r="62" spans="1:5" s="207" customFormat="1" ht="15.75">
      <c r="A62" s="382"/>
      <c r="B62" s="384" t="s">
        <v>436</v>
      </c>
      <c r="C62" s="380">
        <v>1113</v>
      </c>
      <c r="D62" s="380">
        <v>1118</v>
      </c>
      <c r="E62" s="381">
        <f t="shared" si="1"/>
        <v>100.4492362982929</v>
      </c>
    </row>
    <row r="63" spans="1:5" ht="15.75">
      <c r="A63" s="159" t="s">
        <v>389</v>
      </c>
      <c r="B63" s="379" t="s">
        <v>336</v>
      </c>
      <c r="C63" s="380">
        <f>SUM(C64)</f>
        <v>500</v>
      </c>
      <c r="D63" s="380">
        <f>SUM(D64)</f>
        <v>650</v>
      </c>
      <c r="E63" s="381">
        <f>D63/C63*100</f>
        <v>130</v>
      </c>
    </row>
    <row r="64" spans="1:5" ht="15.75">
      <c r="A64" s="159"/>
      <c r="B64" s="379" t="s">
        <v>398</v>
      </c>
      <c r="C64" s="380">
        <v>500</v>
      </c>
      <c r="D64" s="380">
        <v>650</v>
      </c>
      <c r="E64" s="381">
        <f>D64/C64*100</f>
        <v>130</v>
      </c>
    </row>
    <row r="65" spans="1:5" ht="15.75">
      <c r="A65" s="159">
        <v>2</v>
      </c>
      <c r="B65" s="376" t="s">
        <v>337</v>
      </c>
      <c r="C65" s="377"/>
      <c r="D65" s="377"/>
      <c r="E65" s="378"/>
    </row>
    <row r="66" spans="1:5" ht="15.75">
      <c r="A66" s="159">
        <v>3</v>
      </c>
      <c r="B66" s="376" t="s">
        <v>338</v>
      </c>
      <c r="C66" s="377">
        <f>SUM(C67:C68)</f>
        <v>117927</v>
      </c>
      <c r="D66" s="377">
        <f>SUM(D67:D68)</f>
        <v>119155</v>
      </c>
      <c r="E66" s="378">
        <f aca="true" t="shared" si="2" ref="E66:E71">D66/C66*100</f>
        <v>101.04132217388724</v>
      </c>
    </row>
    <row r="67" spans="1:5" ht="15.75">
      <c r="A67" s="159"/>
      <c r="B67" s="379" t="s">
        <v>223</v>
      </c>
      <c r="C67" s="380">
        <v>110135</v>
      </c>
      <c r="D67" s="380">
        <v>110135</v>
      </c>
      <c r="E67" s="381">
        <f t="shared" si="2"/>
        <v>100</v>
      </c>
    </row>
    <row r="68" spans="1:5" ht="15.75">
      <c r="A68" s="159"/>
      <c r="B68" s="379" t="s">
        <v>265</v>
      </c>
      <c r="C68" s="380">
        <v>7792</v>
      </c>
      <c r="D68" s="380">
        <v>9020</v>
      </c>
      <c r="E68" s="381">
        <f t="shared" si="2"/>
        <v>115.75975359342917</v>
      </c>
    </row>
    <row r="69" spans="1:5" ht="15.75">
      <c r="A69" s="159">
        <v>4</v>
      </c>
      <c r="B69" s="376" t="s">
        <v>339</v>
      </c>
      <c r="C69" s="377">
        <f>SUM(C70:C71)</f>
        <v>4398</v>
      </c>
      <c r="D69" s="377">
        <f>SUM(D70:D71)</f>
        <v>3654</v>
      </c>
      <c r="E69" s="378">
        <f t="shared" si="2"/>
        <v>83.08321964529331</v>
      </c>
    </row>
    <row r="70" spans="1:5" ht="15.75">
      <c r="A70" s="159"/>
      <c r="B70" s="379" t="s">
        <v>224</v>
      </c>
      <c r="C70" s="380">
        <v>1987</v>
      </c>
      <c r="D70" s="380">
        <v>1243</v>
      </c>
      <c r="E70" s="381">
        <f t="shared" si="2"/>
        <v>62.55661801711122</v>
      </c>
    </row>
    <row r="71" spans="1:5" ht="15.75">
      <c r="A71" s="159"/>
      <c r="B71" s="379" t="s">
        <v>225</v>
      </c>
      <c r="C71" s="380">
        <v>2411</v>
      </c>
      <c r="D71" s="380">
        <v>2411</v>
      </c>
      <c r="E71" s="381">
        <f t="shared" si="2"/>
        <v>100</v>
      </c>
    </row>
    <row r="72" spans="1:5" ht="15.75">
      <c r="A72" s="159">
        <v>5</v>
      </c>
      <c r="B72" s="376" t="s">
        <v>340</v>
      </c>
      <c r="C72" s="377"/>
      <c r="D72" s="377"/>
      <c r="E72" s="378"/>
    </row>
    <row r="73" spans="1:5" ht="15.75">
      <c r="A73" s="159">
        <v>6</v>
      </c>
      <c r="B73" s="376" t="s">
        <v>341</v>
      </c>
      <c r="C73" s="377">
        <f>SUM(C74)</f>
        <v>5561</v>
      </c>
      <c r="D73" s="377">
        <f>SUM(D74)</f>
        <v>5561</v>
      </c>
      <c r="E73" s="378">
        <f aca="true" t="shared" si="3" ref="E73:E78">D73/C73*100</f>
        <v>100</v>
      </c>
    </row>
    <row r="74" spans="1:5" ht="15.75">
      <c r="A74" s="159"/>
      <c r="B74" s="379" t="s">
        <v>494</v>
      </c>
      <c r="C74" s="380">
        <v>5561</v>
      </c>
      <c r="D74" s="380">
        <v>5561</v>
      </c>
      <c r="E74" s="381">
        <f t="shared" si="3"/>
        <v>100</v>
      </c>
    </row>
    <row r="75" spans="1:5" ht="15.75">
      <c r="A75" s="159">
        <v>7</v>
      </c>
      <c r="B75" s="376" t="s">
        <v>342</v>
      </c>
      <c r="C75" s="377">
        <f>SUM(C76:C78)</f>
        <v>17366</v>
      </c>
      <c r="D75" s="377">
        <f>SUM(D76:D78)</f>
        <v>9269</v>
      </c>
      <c r="E75" s="378">
        <f t="shared" si="3"/>
        <v>53.37440976620984</v>
      </c>
    </row>
    <row r="76" spans="1:5" ht="15.75">
      <c r="A76" s="159"/>
      <c r="B76" s="379" t="s">
        <v>399</v>
      </c>
      <c r="C76" s="380">
        <v>6400</v>
      </c>
      <c r="D76" s="380">
        <v>1763</v>
      </c>
      <c r="E76" s="381">
        <f t="shared" si="3"/>
        <v>27.546875</v>
      </c>
    </row>
    <row r="77" spans="1:5" ht="15.75">
      <c r="A77" s="159"/>
      <c r="B77" s="379" t="s">
        <v>495</v>
      </c>
      <c r="C77" s="380">
        <v>9561</v>
      </c>
      <c r="D77" s="380">
        <v>6215</v>
      </c>
      <c r="E77" s="381">
        <f t="shared" si="3"/>
        <v>65.00366070494718</v>
      </c>
    </row>
    <row r="78" spans="1:5" ht="15.75">
      <c r="A78" s="159"/>
      <c r="B78" s="379" t="s">
        <v>403</v>
      </c>
      <c r="C78" s="380">
        <v>1405</v>
      </c>
      <c r="D78" s="380">
        <v>1291</v>
      </c>
      <c r="E78" s="381">
        <f t="shared" si="3"/>
        <v>91.88612099644128</v>
      </c>
    </row>
  </sheetData>
  <sheetProtection/>
  <mergeCells count="2">
    <mergeCell ref="A2:E2"/>
    <mergeCell ref="A3:E3"/>
  </mergeCells>
  <printOptions horizontalCentered="1"/>
  <pageMargins left="0.5" right="0.5" top="0.4" bottom="0.4" header="0.3" footer="0.3"/>
  <pageSetup horizontalDpi="600" verticalDpi="600" orientation="portrait" paperSize="9" r:id="rId1"/>
  <headerFooter>
    <oddFooter>&amp;R&amp;"Times New Roman,Regular"&amp;10&amp;P</oddFooter>
  </headerFooter>
</worksheet>
</file>

<file path=xl/worksheets/sheet27.xml><?xml version="1.0" encoding="utf-8"?>
<worksheet xmlns="http://schemas.openxmlformats.org/spreadsheetml/2006/main" xmlns:r="http://schemas.openxmlformats.org/officeDocument/2006/relationships">
  <dimension ref="A1:N28"/>
  <sheetViews>
    <sheetView showZeros="0" zoomScale="110" zoomScaleNormal="110" zoomScalePageLayoutView="0" workbookViewId="0" topLeftCell="A1">
      <selection activeCell="H13" sqref="H13"/>
    </sheetView>
  </sheetViews>
  <sheetFormatPr defaultColWidth="6.00390625" defaultRowHeight="15"/>
  <cols>
    <col min="1" max="1" width="6.00390625" style="128" customWidth="1"/>
    <col min="2" max="2" width="17.140625" style="128" customWidth="1"/>
    <col min="3" max="3" width="10.140625" style="128" customWidth="1"/>
    <col min="4" max="4" width="10.421875" style="128" customWidth="1"/>
    <col min="5" max="6" width="8.8515625" style="128" customWidth="1"/>
    <col min="7" max="8" width="9.57421875" style="128" customWidth="1"/>
    <col min="9" max="12" width="8.8515625" style="128" customWidth="1"/>
    <col min="13" max="14" width="8.28125" style="128" customWidth="1"/>
    <col min="15" max="16384" width="6.00390625" style="128" customWidth="1"/>
  </cols>
  <sheetData>
    <row r="1" spans="1:14" ht="15">
      <c r="A1" s="472" t="s">
        <v>344</v>
      </c>
      <c r="B1" s="472"/>
      <c r="C1" s="472"/>
      <c r="D1" s="472"/>
      <c r="E1" s="472"/>
      <c r="F1" s="472"/>
      <c r="G1" s="472"/>
      <c r="H1" s="472"/>
      <c r="I1" s="472"/>
      <c r="J1" s="472"/>
      <c r="K1" s="472"/>
      <c r="L1" s="472"/>
      <c r="M1" s="472"/>
      <c r="N1" s="472"/>
    </row>
    <row r="2" spans="1:14" ht="15.75">
      <c r="A2" s="478" t="s">
        <v>473</v>
      </c>
      <c r="B2" s="478"/>
      <c r="C2" s="478"/>
      <c r="D2" s="478"/>
      <c r="E2" s="478"/>
      <c r="F2" s="478"/>
      <c r="G2" s="478"/>
      <c r="H2" s="478"/>
      <c r="I2" s="478"/>
      <c r="J2" s="478"/>
      <c r="K2" s="478"/>
      <c r="L2" s="478"/>
      <c r="M2" s="478"/>
      <c r="N2" s="478"/>
    </row>
    <row r="3" spans="1:14" ht="15">
      <c r="A3" s="434"/>
      <c r="B3" s="434"/>
      <c r="C3" s="434"/>
      <c r="D3" s="434"/>
      <c r="E3" s="434"/>
      <c r="F3" s="434"/>
      <c r="G3" s="434"/>
      <c r="H3" s="434"/>
      <c r="I3" s="434"/>
      <c r="J3" s="434"/>
      <c r="K3" s="434"/>
      <c r="L3" s="434"/>
      <c r="M3" s="434"/>
      <c r="N3" s="434"/>
    </row>
    <row r="4" spans="12:14" ht="15">
      <c r="L4" s="473" t="s">
        <v>10</v>
      </c>
      <c r="M4" s="473"/>
      <c r="N4" s="473"/>
    </row>
    <row r="5" spans="1:14" ht="15">
      <c r="A5" s="477" t="s">
        <v>0</v>
      </c>
      <c r="B5" s="477" t="s">
        <v>173</v>
      </c>
      <c r="C5" s="477" t="s">
        <v>452</v>
      </c>
      <c r="D5" s="477"/>
      <c r="E5" s="477"/>
      <c r="F5" s="477"/>
      <c r="G5" s="477" t="s">
        <v>475</v>
      </c>
      <c r="H5" s="477"/>
      <c r="I5" s="477"/>
      <c r="J5" s="477"/>
      <c r="K5" s="477" t="s">
        <v>50</v>
      </c>
      <c r="L5" s="477"/>
      <c r="M5" s="477"/>
      <c r="N5" s="477"/>
    </row>
    <row r="6" spans="1:14" ht="15">
      <c r="A6" s="477"/>
      <c r="B6" s="477"/>
      <c r="C6" s="477" t="s">
        <v>130</v>
      </c>
      <c r="D6" s="477" t="s">
        <v>131</v>
      </c>
      <c r="E6" s="477"/>
      <c r="F6" s="477"/>
      <c r="G6" s="477" t="s">
        <v>132</v>
      </c>
      <c r="H6" s="477" t="s">
        <v>131</v>
      </c>
      <c r="I6" s="477"/>
      <c r="J6" s="477"/>
      <c r="K6" s="477" t="s">
        <v>130</v>
      </c>
      <c r="L6" s="477" t="s">
        <v>131</v>
      </c>
      <c r="M6" s="477"/>
      <c r="N6" s="477"/>
    </row>
    <row r="7" spans="1:14" ht="86.25" customHeight="1">
      <c r="A7" s="477"/>
      <c r="B7" s="477"/>
      <c r="C7" s="477"/>
      <c r="D7" s="199" t="s">
        <v>31</v>
      </c>
      <c r="E7" s="199" t="s">
        <v>81</v>
      </c>
      <c r="F7" s="199" t="s">
        <v>133</v>
      </c>
      <c r="G7" s="477"/>
      <c r="H7" s="199" t="s">
        <v>31</v>
      </c>
      <c r="I7" s="199" t="s">
        <v>81</v>
      </c>
      <c r="J7" s="199" t="s">
        <v>133</v>
      </c>
      <c r="K7" s="477"/>
      <c r="L7" s="199" t="s">
        <v>31</v>
      </c>
      <c r="M7" s="199" t="s">
        <v>134</v>
      </c>
      <c r="N7" s="199" t="s">
        <v>133</v>
      </c>
    </row>
    <row r="8" spans="1:14" ht="15">
      <c r="A8" s="130" t="s">
        <v>1</v>
      </c>
      <c r="B8" s="130" t="s">
        <v>6</v>
      </c>
      <c r="C8" s="130">
        <v>1</v>
      </c>
      <c r="D8" s="130">
        <v>2</v>
      </c>
      <c r="E8" s="130">
        <v>3</v>
      </c>
      <c r="F8" s="130">
        <v>4</v>
      </c>
      <c r="G8" s="130">
        <v>5</v>
      </c>
      <c r="H8" s="130">
        <v>6</v>
      </c>
      <c r="I8" s="130">
        <v>7</v>
      </c>
      <c r="J8" s="130">
        <v>8</v>
      </c>
      <c r="K8" s="130" t="s">
        <v>135</v>
      </c>
      <c r="L8" s="130" t="s">
        <v>136</v>
      </c>
      <c r="M8" s="130" t="s">
        <v>137</v>
      </c>
      <c r="N8" s="130" t="s">
        <v>138</v>
      </c>
    </row>
    <row r="9" spans="1:14" ht="15">
      <c r="A9" s="155"/>
      <c r="B9" s="156" t="s">
        <v>149</v>
      </c>
      <c r="C9" s="343">
        <f>SUM(C10:C25)</f>
        <v>23821.000000000004</v>
      </c>
      <c r="D9" s="343">
        <f aca="true" t="shared" si="0" ref="D9:J9">SUM(D10:D25)</f>
        <v>23821.000000000004</v>
      </c>
      <c r="E9" s="343">
        <f t="shared" si="0"/>
        <v>0</v>
      </c>
      <c r="F9" s="343">
        <f t="shared" si="0"/>
        <v>0</v>
      </c>
      <c r="G9" s="343">
        <f t="shared" si="0"/>
        <v>18248</v>
      </c>
      <c r="H9" s="343">
        <f t="shared" si="0"/>
        <v>18248</v>
      </c>
      <c r="I9" s="343">
        <f t="shared" si="0"/>
        <v>0</v>
      </c>
      <c r="J9" s="343">
        <f t="shared" si="0"/>
        <v>0</v>
      </c>
      <c r="K9" s="197">
        <f>G9/C9*100</f>
        <v>76.60467654590487</v>
      </c>
      <c r="L9" s="197">
        <f>H9/D9*100</f>
        <v>76.60467654590487</v>
      </c>
      <c r="M9" s="197"/>
      <c r="N9" s="197"/>
    </row>
    <row r="10" spans="1:14" ht="15">
      <c r="A10" s="157">
        <v>1</v>
      </c>
      <c r="B10" s="158" t="s">
        <v>150</v>
      </c>
      <c r="C10" s="344">
        <f>SUM(D10:F10)</f>
        <v>1421.2</v>
      </c>
      <c r="D10" s="344">
        <f>'B20'!H10</f>
        <v>1421.2</v>
      </c>
      <c r="E10" s="344">
        <f>'B20'!I10</f>
        <v>0</v>
      </c>
      <c r="F10" s="344">
        <f>'B20'!J10</f>
        <v>0</v>
      </c>
      <c r="G10" s="344">
        <f>SUM(H10:J10)</f>
        <v>1186</v>
      </c>
      <c r="H10" s="344">
        <f>'B32'!D9</f>
        <v>1186</v>
      </c>
      <c r="I10" s="344">
        <f>'B32'!K9</f>
        <v>0</v>
      </c>
      <c r="J10" s="344">
        <f>'B32'!L9</f>
        <v>0</v>
      </c>
      <c r="K10" s="198">
        <f>G10/C10*100</f>
        <v>83.45060512243174</v>
      </c>
      <c r="L10" s="198">
        <f aca="true" t="shared" si="1" ref="L10:L25">H10/D10*100</f>
        <v>83.45060512243174</v>
      </c>
      <c r="M10" s="198"/>
      <c r="N10" s="198"/>
    </row>
    <row r="11" spans="1:14" ht="15">
      <c r="A11" s="157">
        <v>2</v>
      </c>
      <c r="B11" s="158" t="s">
        <v>151</v>
      </c>
      <c r="C11" s="344">
        <f aca="true" t="shared" si="2" ref="C11:C25">SUM(D11:F11)</f>
        <v>1600.9</v>
      </c>
      <c r="D11" s="344">
        <f>'B20'!H11</f>
        <v>1600.9</v>
      </c>
      <c r="E11" s="344">
        <f>'B20'!I11</f>
        <v>0</v>
      </c>
      <c r="F11" s="344">
        <f>'B20'!J11</f>
        <v>0</v>
      </c>
      <c r="G11" s="344">
        <f aca="true" t="shared" si="3" ref="G11:G25">SUM(H11:J11)</f>
        <v>1261</v>
      </c>
      <c r="H11" s="344">
        <f>'B32'!D10</f>
        <v>1261</v>
      </c>
      <c r="I11" s="344">
        <f>'B32'!K10</f>
        <v>0</v>
      </c>
      <c r="J11" s="344">
        <f>'B32'!L10</f>
        <v>0</v>
      </c>
      <c r="K11" s="198">
        <f aca="true" t="shared" si="4" ref="K11:K25">G11/C11*100</f>
        <v>78.76819289149853</v>
      </c>
      <c r="L11" s="198">
        <f t="shared" si="1"/>
        <v>78.76819289149853</v>
      </c>
      <c r="M11" s="198"/>
      <c r="N11" s="198"/>
    </row>
    <row r="12" spans="1:14" ht="15">
      <c r="A12" s="157">
        <v>3</v>
      </c>
      <c r="B12" s="158" t="s">
        <v>152</v>
      </c>
      <c r="C12" s="344">
        <f t="shared" si="2"/>
        <v>1469.0900000000001</v>
      </c>
      <c r="D12" s="344">
        <f>'B20'!H12</f>
        <v>1469.0900000000001</v>
      </c>
      <c r="E12" s="344">
        <f>'B20'!I12</f>
        <v>0</v>
      </c>
      <c r="F12" s="344">
        <f>'B20'!J12</f>
        <v>0</v>
      </c>
      <c r="G12" s="344">
        <f t="shared" si="3"/>
        <v>1044</v>
      </c>
      <c r="H12" s="344">
        <f>'B32'!D11</f>
        <v>1044</v>
      </c>
      <c r="I12" s="344">
        <f>'B32'!K11</f>
        <v>0</v>
      </c>
      <c r="J12" s="344">
        <f>'B32'!L11</f>
        <v>0</v>
      </c>
      <c r="K12" s="198">
        <f t="shared" si="4"/>
        <v>71.06440041113886</v>
      </c>
      <c r="L12" s="198">
        <f t="shared" si="1"/>
        <v>71.06440041113886</v>
      </c>
      <c r="M12" s="198"/>
      <c r="N12" s="198"/>
    </row>
    <row r="13" spans="1:14" ht="15">
      <c r="A13" s="157">
        <v>4</v>
      </c>
      <c r="B13" s="158" t="s">
        <v>153</v>
      </c>
      <c r="C13" s="344">
        <f t="shared" si="2"/>
        <v>2322.7</v>
      </c>
      <c r="D13" s="344">
        <f>'B20'!H13</f>
        <v>2322.7</v>
      </c>
      <c r="E13" s="344">
        <f>'B20'!I13</f>
        <v>0</v>
      </c>
      <c r="F13" s="344">
        <f>'B20'!J13</f>
        <v>0</v>
      </c>
      <c r="G13" s="344">
        <f t="shared" si="3"/>
        <v>1841</v>
      </c>
      <c r="H13" s="344">
        <f>'B32'!D12</f>
        <v>1841</v>
      </c>
      <c r="I13" s="344">
        <f>'B32'!K12</f>
        <v>0</v>
      </c>
      <c r="J13" s="344">
        <f>'B32'!L12</f>
        <v>0</v>
      </c>
      <c r="K13" s="198">
        <f t="shared" si="4"/>
        <v>79.26120463253973</v>
      </c>
      <c r="L13" s="198">
        <f t="shared" si="1"/>
        <v>79.26120463253973</v>
      </c>
      <c r="M13" s="198"/>
      <c r="N13" s="198"/>
    </row>
    <row r="14" spans="1:14" ht="15">
      <c r="A14" s="157">
        <v>5</v>
      </c>
      <c r="B14" s="158" t="s">
        <v>154</v>
      </c>
      <c r="C14" s="344">
        <f t="shared" si="2"/>
        <v>2747.7000000000003</v>
      </c>
      <c r="D14" s="344">
        <f>'B20'!H14</f>
        <v>2747.7000000000003</v>
      </c>
      <c r="E14" s="344">
        <f>'B20'!I14</f>
        <v>0</v>
      </c>
      <c r="F14" s="344">
        <f>'B20'!J14</f>
        <v>0</v>
      </c>
      <c r="G14" s="344">
        <f t="shared" si="3"/>
        <v>1777</v>
      </c>
      <c r="H14" s="344">
        <f>'B32'!D13</f>
        <v>1777</v>
      </c>
      <c r="I14" s="344">
        <f>'B32'!K13</f>
        <v>0</v>
      </c>
      <c r="J14" s="344">
        <f>'B32'!L13</f>
        <v>0</v>
      </c>
      <c r="K14" s="198">
        <f t="shared" si="4"/>
        <v>64.67227135422353</v>
      </c>
      <c r="L14" s="198">
        <f t="shared" si="1"/>
        <v>64.67227135422353</v>
      </c>
      <c r="M14" s="198"/>
      <c r="N14" s="198"/>
    </row>
    <row r="15" spans="1:14" ht="15">
      <c r="A15" s="157">
        <v>6</v>
      </c>
      <c r="B15" s="158" t="s">
        <v>155</v>
      </c>
      <c r="C15" s="344">
        <f t="shared" si="2"/>
        <v>1677.4</v>
      </c>
      <c r="D15" s="344">
        <f>'B20'!H15</f>
        <v>1677.4</v>
      </c>
      <c r="E15" s="344">
        <f>'B20'!I15</f>
        <v>0</v>
      </c>
      <c r="F15" s="344">
        <f>'B20'!J15</f>
        <v>0</v>
      </c>
      <c r="G15" s="344">
        <f t="shared" si="3"/>
        <v>1195</v>
      </c>
      <c r="H15" s="344">
        <f>'B32'!D14</f>
        <v>1195</v>
      </c>
      <c r="I15" s="344">
        <f>'B32'!K14</f>
        <v>0</v>
      </c>
      <c r="J15" s="344">
        <f>'B32'!L14</f>
        <v>0</v>
      </c>
      <c r="K15" s="198">
        <f t="shared" si="4"/>
        <v>71.24120662930726</v>
      </c>
      <c r="L15" s="198">
        <f t="shared" si="1"/>
        <v>71.24120662930726</v>
      </c>
      <c r="M15" s="198"/>
      <c r="N15" s="198"/>
    </row>
    <row r="16" spans="1:14" ht="15">
      <c r="A16" s="157">
        <v>7</v>
      </c>
      <c r="B16" s="158" t="s">
        <v>156</v>
      </c>
      <c r="C16" s="344">
        <f t="shared" si="2"/>
        <v>3420.3</v>
      </c>
      <c r="D16" s="344">
        <f>'B20'!H16</f>
        <v>3420.3</v>
      </c>
      <c r="E16" s="344">
        <f>'B20'!I16</f>
        <v>0</v>
      </c>
      <c r="F16" s="344">
        <f>'B20'!J16</f>
        <v>0</v>
      </c>
      <c r="G16" s="344">
        <f t="shared" si="3"/>
        <v>3134</v>
      </c>
      <c r="H16" s="344">
        <f>'B32'!D15</f>
        <v>3134</v>
      </c>
      <c r="I16" s="344">
        <f>'B32'!K15</f>
        <v>0</v>
      </c>
      <c r="J16" s="344">
        <f>'B32'!L15</f>
        <v>0</v>
      </c>
      <c r="K16" s="198">
        <f t="shared" si="4"/>
        <v>91.62938923486243</v>
      </c>
      <c r="L16" s="198">
        <f t="shared" si="1"/>
        <v>91.62938923486243</v>
      </c>
      <c r="M16" s="198"/>
      <c r="N16" s="198"/>
    </row>
    <row r="17" spans="1:14" ht="15">
      <c r="A17" s="157">
        <v>8</v>
      </c>
      <c r="B17" s="158" t="s">
        <v>157</v>
      </c>
      <c r="C17" s="344">
        <f t="shared" si="2"/>
        <v>437.1</v>
      </c>
      <c r="D17" s="344">
        <f>'B20'!H17</f>
        <v>437.1</v>
      </c>
      <c r="E17" s="344">
        <f>'B20'!I17</f>
        <v>0</v>
      </c>
      <c r="F17" s="344">
        <f>'B20'!J17</f>
        <v>0</v>
      </c>
      <c r="G17" s="344">
        <f t="shared" si="3"/>
        <v>358</v>
      </c>
      <c r="H17" s="344">
        <f>'B32'!D16</f>
        <v>358</v>
      </c>
      <c r="I17" s="344">
        <f>'B32'!K16</f>
        <v>0</v>
      </c>
      <c r="J17" s="344">
        <f>'B32'!L16</f>
        <v>0</v>
      </c>
      <c r="K17" s="198">
        <f t="shared" si="4"/>
        <v>81.90345458705102</v>
      </c>
      <c r="L17" s="198">
        <f t="shared" si="1"/>
        <v>81.90345458705102</v>
      </c>
      <c r="M17" s="198"/>
      <c r="N17" s="198"/>
    </row>
    <row r="18" spans="1:14" ht="15">
      <c r="A18" s="157">
        <v>9</v>
      </c>
      <c r="B18" s="158" t="s">
        <v>158</v>
      </c>
      <c r="C18" s="344">
        <f t="shared" si="2"/>
        <v>1215.73</v>
      </c>
      <c r="D18" s="344">
        <f>'B20'!H18</f>
        <v>1215.73</v>
      </c>
      <c r="E18" s="344">
        <f>'B20'!I18</f>
        <v>0</v>
      </c>
      <c r="F18" s="344">
        <f>'B20'!J18</f>
        <v>0</v>
      </c>
      <c r="G18" s="344">
        <f t="shared" si="3"/>
        <v>741</v>
      </c>
      <c r="H18" s="344">
        <f>'B32'!D17</f>
        <v>741</v>
      </c>
      <c r="I18" s="344">
        <f>'B32'!K17</f>
        <v>0</v>
      </c>
      <c r="J18" s="344">
        <f>'B32'!L17</f>
        <v>0</v>
      </c>
      <c r="K18" s="198">
        <f t="shared" si="4"/>
        <v>60.95103353540671</v>
      </c>
      <c r="L18" s="198">
        <f t="shared" si="1"/>
        <v>60.95103353540671</v>
      </c>
      <c r="M18" s="198"/>
      <c r="N18" s="198"/>
    </row>
    <row r="19" spans="1:14" ht="15">
      <c r="A19" s="157">
        <v>10</v>
      </c>
      <c r="B19" s="158" t="s">
        <v>159</v>
      </c>
      <c r="C19" s="344">
        <f t="shared" si="2"/>
        <v>619.9</v>
      </c>
      <c r="D19" s="344">
        <f>'B20'!H19</f>
        <v>619.9</v>
      </c>
      <c r="E19" s="344">
        <f>'B20'!I19</f>
        <v>0</v>
      </c>
      <c r="F19" s="344">
        <f>'B20'!J19</f>
        <v>0</v>
      </c>
      <c r="G19" s="344">
        <f t="shared" si="3"/>
        <v>509</v>
      </c>
      <c r="H19" s="344">
        <f>'B32'!D18</f>
        <v>509</v>
      </c>
      <c r="I19" s="344">
        <f>'B32'!K18</f>
        <v>0</v>
      </c>
      <c r="J19" s="344">
        <f>'B32'!L18</f>
        <v>0</v>
      </c>
      <c r="K19" s="198">
        <f t="shared" si="4"/>
        <v>82.11001774479755</v>
      </c>
      <c r="L19" s="198">
        <f t="shared" si="1"/>
        <v>82.11001774479755</v>
      </c>
      <c r="M19" s="198"/>
      <c r="N19" s="198"/>
    </row>
    <row r="20" spans="1:14" ht="15">
      <c r="A20" s="157">
        <v>11</v>
      </c>
      <c r="B20" s="158" t="s">
        <v>160</v>
      </c>
      <c r="C20" s="344">
        <f t="shared" si="2"/>
        <v>606.6500000000001</v>
      </c>
      <c r="D20" s="344">
        <f>'B20'!H20</f>
        <v>606.6500000000001</v>
      </c>
      <c r="E20" s="344">
        <f>'B20'!I20</f>
        <v>0</v>
      </c>
      <c r="F20" s="344">
        <f>'B20'!J20</f>
        <v>0</v>
      </c>
      <c r="G20" s="344">
        <f t="shared" si="3"/>
        <v>476</v>
      </c>
      <c r="H20" s="344">
        <f>'B32'!D19</f>
        <v>476</v>
      </c>
      <c r="I20" s="344">
        <f>'B32'!K19</f>
        <v>0</v>
      </c>
      <c r="J20" s="344">
        <f>'B32'!L19</f>
        <v>0</v>
      </c>
      <c r="K20" s="198">
        <f t="shared" si="4"/>
        <v>78.46369405752904</v>
      </c>
      <c r="L20" s="198">
        <f t="shared" si="1"/>
        <v>78.46369405752904</v>
      </c>
      <c r="M20" s="198"/>
      <c r="N20" s="198"/>
    </row>
    <row r="21" spans="1:14" ht="15">
      <c r="A21" s="157">
        <v>12</v>
      </c>
      <c r="B21" s="158" t="s">
        <v>161</v>
      </c>
      <c r="C21" s="344">
        <f t="shared" si="2"/>
        <v>836.1700000000001</v>
      </c>
      <c r="D21" s="344">
        <f>'B20'!H21</f>
        <v>836.1700000000001</v>
      </c>
      <c r="E21" s="344">
        <f>'B20'!I21</f>
        <v>0</v>
      </c>
      <c r="F21" s="344">
        <f>'B20'!J21</f>
        <v>0</v>
      </c>
      <c r="G21" s="344">
        <f t="shared" si="3"/>
        <v>642</v>
      </c>
      <c r="H21" s="344">
        <f>'B32'!D20</f>
        <v>642</v>
      </c>
      <c r="I21" s="344">
        <f>'B32'!K20</f>
        <v>0</v>
      </c>
      <c r="J21" s="344">
        <f>'B32'!L20</f>
        <v>0</v>
      </c>
      <c r="K21" s="198">
        <f t="shared" si="4"/>
        <v>76.77864549074948</v>
      </c>
      <c r="L21" s="198">
        <f t="shared" si="1"/>
        <v>76.77864549074948</v>
      </c>
      <c r="M21" s="198"/>
      <c r="N21" s="198"/>
    </row>
    <row r="22" spans="1:14" ht="15">
      <c r="A22" s="157">
        <v>13</v>
      </c>
      <c r="B22" s="158" t="s">
        <v>162</v>
      </c>
      <c r="C22" s="344">
        <f t="shared" si="2"/>
        <v>1028.4</v>
      </c>
      <c r="D22" s="344">
        <f>'B20'!H22</f>
        <v>1028.4</v>
      </c>
      <c r="E22" s="344">
        <f>'B20'!I22</f>
        <v>0</v>
      </c>
      <c r="F22" s="344">
        <f>'B20'!J22</f>
        <v>0</v>
      </c>
      <c r="G22" s="344">
        <f t="shared" si="3"/>
        <v>479</v>
      </c>
      <c r="H22" s="344">
        <f>'B32'!D21</f>
        <v>479</v>
      </c>
      <c r="I22" s="344">
        <f>'B32'!K21</f>
        <v>0</v>
      </c>
      <c r="J22" s="344">
        <f>'B32'!L21</f>
        <v>0</v>
      </c>
      <c r="K22" s="198">
        <f t="shared" si="4"/>
        <v>46.577207312329826</v>
      </c>
      <c r="L22" s="198">
        <f t="shared" si="1"/>
        <v>46.577207312329826</v>
      </c>
      <c r="M22" s="198"/>
      <c r="N22" s="198"/>
    </row>
    <row r="23" spans="1:14" ht="15">
      <c r="A23" s="157">
        <v>14</v>
      </c>
      <c r="B23" s="158" t="s">
        <v>163</v>
      </c>
      <c r="C23" s="344">
        <f t="shared" si="2"/>
        <v>1005.6</v>
      </c>
      <c r="D23" s="344">
        <f>'B20'!H23</f>
        <v>1005.6</v>
      </c>
      <c r="E23" s="344">
        <f>'B20'!I23</f>
        <v>0</v>
      </c>
      <c r="F23" s="344">
        <f>'B20'!J23</f>
        <v>0</v>
      </c>
      <c r="G23" s="344">
        <f t="shared" si="3"/>
        <v>539</v>
      </c>
      <c r="H23" s="344">
        <f>'B32'!D22</f>
        <v>539</v>
      </c>
      <c r="I23" s="344">
        <f>'B32'!K22</f>
        <v>0</v>
      </c>
      <c r="J23" s="344">
        <f>'B32'!L22</f>
        <v>0</v>
      </c>
      <c r="K23" s="198">
        <f t="shared" si="4"/>
        <v>53.599840891010345</v>
      </c>
      <c r="L23" s="198">
        <f t="shared" si="1"/>
        <v>53.599840891010345</v>
      </c>
      <c r="M23" s="198"/>
      <c r="N23" s="198"/>
    </row>
    <row r="24" spans="1:14" ht="15">
      <c r="A24" s="157">
        <v>15</v>
      </c>
      <c r="B24" s="158" t="s">
        <v>164</v>
      </c>
      <c r="C24" s="344">
        <f t="shared" si="2"/>
        <v>1355.5</v>
      </c>
      <c r="D24" s="344">
        <f>'B20'!H24</f>
        <v>1355.5</v>
      </c>
      <c r="E24" s="344">
        <f>'B20'!I24</f>
        <v>0</v>
      </c>
      <c r="F24" s="344">
        <f>'B20'!J24</f>
        <v>0</v>
      </c>
      <c r="G24" s="344">
        <f t="shared" si="3"/>
        <v>1157</v>
      </c>
      <c r="H24" s="344">
        <f>'B32'!D23</f>
        <v>1157</v>
      </c>
      <c r="I24" s="344">
        <f>'B32'!K23</f>
        <v>0</v>
      </c>
      <c r="J24" s="344">
        <f>'B32'!L23</f>
        <v>0</v>
      </c>
      <c r="K24" s="198">
        <f t="shared" si="4"/>
        <v>85.35595721136112</v>
      </c>
      <c r="L24" s="198">
        <f t="shared" si="1"/>
        <v>85.35595721136112</v>
      </c>
      <c r="M24" s="198"/>
      <c r="N24" s="198"/>
    </row>
    <row r="25" spans="1:14" ht="15">
      <c r="A25" s="153">
        <v>16</v>
      </c>
      <c r="B25" s="154" t="s">
        <v>165</v>
      </c>
      <c r="C25" s="345">
        <f t="shared" si="2"/>
        <v>2056.66</v>
      </c>
      <c r="D25" s="346">
        <f>'B20'!H25</f>
        <v>2056.66</v>
      </c>
      <c r="E25" s="346">
        <f>'B20'!I25</f>
        <v>0</v>
      </c>
      <c r="F25" s="346">
        <f>'B20'!J25</f>
        <v>0</v>
      </c>
      <c r="G25" s="345">
        <f t="shared" si="3"/>
        <v>1909</v>
      </c>
      <c r="H25" s="346">
        <f>'B32'!D24</f>
        <v>1909</v>
      </c>
      <c r="I25" s="346">
        <f>'B32'!K24</f>
        <v>0</v>
      </c>
      <c r="J25" s="346">
        <f>'B32'!L24</f>
        <v>0</v>
      </c>
      <c r="K25" s="196">
        <f t="shared" si="4"/>
        <v>92.82039812122568</v>
      </c>
      <c r="L25" s="196">
        <f t="shared" si="1"/>
        <v>92.82039812122568</v>
      </c>
      <c r="M25" s="196"/>
      <c r="N25" s="196"/>
    </row>
    <row r="26" ht="15">
      <c r="A26" s="132"/>
    </row>
    <row r="27" spans="1:14" s="149" customFormat="1" ht="15">
      <c r="A27" s="471"/>
      <c r="B27" s="471"/>
      <c r="C27" s="471"/>
      <c r="D27" s="471"/>
      <c r="E27" s="471"/>
      <c r="F27" s="471"/>
      <c r="G27" s="471"/>
      <c r="H27" s="471"/>
      <c r="I27" s="471"/>
      <c r="J27" s="471"/>
      <c r="K27" s="471"/>
      <c r="L27" s="471"/>
      <c r="M27" s="471"/>
      <c r="N27" s="471"/>
    </row>
    <row r="28" spans="1:14" s="149" customFormat="1" ht="15">
      <c r="A28" s="471"/>
      <c r="B28" s="471"/>
      <c r="C28" s="471"/>
      <c r="D28" s="471"/>
      <c r="E28" s="471"/>
      <c r="F28" s="471"/>
      <c r="G28" s="471"/>
      <c r="H28" s="471"/>
      <c r="I28" s="471"/>
      <c r="J28" s="471"/>
      <c r="K28" s="471"/>
      <c r="L28" s="471"/>
      <c r="M28" s="471"/>
      <c r="N28" s="471"/>
    </row>
  </sheetData>
  <sheetProtection/>
  <mergeCells count="17">
    <mergeCell ref="A1:N1"/>
    <mergeCell ref="A2:N2"/>
    <mergeCell ref="A3:N3"/>
    <mergeCell ref="L4:N4"/>
    <mergeCell ref="A5:A7"/>
    <mergeCell ref="B5:B7"/>
    <mergeCell ref="C5:F5"/>
    <mergeCell ref="G5:J5"/>
    <mergeCell ref="K5:N5"/>
    <mergeCell ref="C6:C7"/>
    <mergeCell ref="A28:N28"/>
    <mergeCell ref="D6:F6"/>
    <mergeCell ref="G6:G7"/>
    <mergeCell ref="H6:J6"/>
    <mergeCell ref="K6:K7"/>
    <mergeCell ref="L6:N6"/>
    <mergeCell ref="A27:N27"/>
  </mergeCells>
  <printOptions horizontalCentered="1"/>
  <pageMargins left="0.6" right="0.6"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R25"/>
  <sheetViews>
    <sheetView showZeros="0" zoomScale="120" zoomScaleNormal="120" zoomScalePageLayoutView="0" workbookViewId="0" topLeftCell="A1">
      <selection activeCell="A25" sqref="A25"/>
    </sheetView>
  </sheetViews>
  <sheetFormatPr defaultColWidth="9.140625" defaultRowHeight="14.25" customHeight="1"/>
  <cols>
    <col min="1" max="1" width="6.140625" style="128" customWidth="1"/>
    <col min="2" max="2" width="23.00390625" style="128" customWidth="1"/>
    <col min="3" max="10" width="10.28125" style="128" customWidth="1"/>
    <col min="11" max="12" width="9.140625" style="128" customWidth="1"/>
    <col min="13" max="18" width="0" style="128" hidden="1" customWidth="1"/>
    <col min="19" max="16384" width="9.140625" style="128" customWidth="1"/>
  </cols>
  <sheetData>
    <row r="1" spans="1:18" ht="14.25" customHeight="1">
      <c r="A1" s="152"/>
      <c r="B1" s="152"/>
      <c r="C1" s="152"/>
      <c r="D1" s="152"/>
      <c r="E1" s="152"/>
      <c r="F1" s="152"/>
      <c r="G1" s="152"/>
      <c r="H1" s="152"/>
      <c r="I1" s="152"/>
      <c r="J1" s="152"/>
      <c r="K1" s="152"/>
      <c r="L1" s="152" t="s">
        <v>345</v>
      </c>
      <c r="M1" s="152"/>
      <c r="N1" s="152"/>
      <c r="O1" s="152"/>
      <c r="P1" s="152"/>
      <c r="Q1" s="152"/>
      <c r="R1" s="152"/>
    </row>
    <row r="2" spans="1:18" ht="36.75" customHeight="1">
      <c r="A2" s="438" t="s">
        <v>474</v>
      </c>
      <c r="B2" s="438"/>
      <c r="C2" s="438"/>
      <c r="D2" s="438"/>
      <c r="E2" s="438"/>
      <c r="F2" s="438"/>
      <c r="G2" s="438"/>
      <c r="H2" s="438"/>
      <c r="I2" s="438"/>
      <c r="J2" s="438"/>
      <c r="K2" s="438"/>
      <c r="L2" s="438"/>
      <c r="M2" s="438"/>
      <c r="N2" s="438"/>
      <c r="O2" s="438"/>
      <c r="P2" s="438"/>
      <c r="Q2" s="438"/>
      <c r="R2" s="438"/>
    </row>
    <row r="3" spans="1:18" ht="18.75" customHeight="1">
      <c r="A3" s="434"/>
      <c r="B3" s="434"/>
      <c r="C3" s="434"/>
      <c r="D3" s="434"/>
      <c r="E3" s="434"/>
      <c r="F3" s="434"/>
      <c r="G3" s="434"/>
      <c r="H3" s="434"/>
      <c r="I3" s="434"/>
      <c r="J3" s="434"/>
      <c r="K3" s="434"/>
      <c r="L3" s="434"/>
      <c r="M3" s="434"/>
      <c r="N3" s="434"/>
      <c r="O3" s="434"/>
      <c r="P3" s="434"/>
      <c r="Q3" s="434"/>
      <c r="R3" s="434"/>
    </row>
    <row r="4" spans="12:18" ht="14.25" customHeight="1">
      <c r="L4" s="151" t="s">
        <v>10</v>
      </c>
      <c r="P4" s="479"/>
      <c r="Q4" s="479"/>
      <c r="R4" s="479"/>
    </row>
    <row r="5" spans="1:18" ht="14.25" customHeight="1">
      <c r="A5" s="476" t="s">
        <v>0</v>
      </c>
      <c r="B5" s="476" t="s">
        <v>173</v>
      </c>
      <c r="C5" s="476" t="s">
        <v>140</v>
      </c>
      <c r="D5" s="476" t="s">
        <v>166</v>
      </c>
      <c r="E5" s="476" t="s">
        <v>131</v>
      </c>
      <c r="F5" s="476"/>
      <c r="G5" s="476"/>
      <c r="H5" s="476"/>
      <c r="I5" s="476"/>
      <c r="J5" s="476"/>
      <c r="K5" s="476" t="s">
        <v>167</v>
      </c>
      <c r="L5" s="476" t="s">
        <v>168</v>
      </c>
      <c r="M5" s="477" t="s">
        <v>131</v>
      </c>
      <c r="N5" s="477"/>
      <c r="O5" s="477"/>
      <c r="P5" s="477"/>
      <c r="Q5" s="477"/>
      <c r="R5" s="477"/>
    </row>
    <row r="6" spans="1:18" ht="96" customHeight="1">
      <c r="A6" s="476"/>
      <c r="B6" s="476"/>
      <c r="C6" s="476"/>
      <c r="D6" s="476"/>
      <c r="E6" s="359" t="s">
        <v>141</v>
      </c>
      <c r="F6" s="359" t="s">
        <v>142</v>
      </c>
      <c r="G6" s="359" t="s">
        <v>169</v>
      </c>
      <c r="H6" s="359" t="s">
        <v>170</v>
      </c>
      <c r="I6" s="359" t="s">
        <v>171</v>
      </c>
      <c r="J6" s="359" t="s">
        <v>172</v>
      </c>
      <c r="K6" s="476"/>
      <c r="L6" s="476">
        <v>-3</v>
      </c>
      <c r="M6" s="360" t="s">
        <v>143</v>
      </c>
      <c r="N6" s="360" t="s">
        <v>144</v>
      </c>
      <c r="O6" s="360" t="s">
        <v>145</v>
      </c>
      <c r="P6" s="360" t="s">
        <v>146</v>
      </c>
      <c r="Q6" s="360" t="s">
        <v>147</v>
      </c>
      <c r="R6" s="360" t="s">
        <v>148</v>
      </c>
    </row>
    <row r="7" spans="1:18" ht="15">
      <c r="A7" s="130" t="s">
        <v>1</v>
      </c>
      <c r="B7" s="130" t="s">
        <v>6</v>
      </c>
      <c r="C7" s="203" t="s">
        <v>174</v>
      </c>
      <c r="D7" s="203" t="s">
        <v>175</v>
      </c>
      <c r="E7" s="203" t="s">
        <v>53</v>
      </c>
      <c r="F7" s="203" t="s">
        <v>54</v>
      </c>
      <c r="G7" s="203" t="s">
        <v>299</v>
      </c>
      <c r="H7" s="203" t="s">
        <v>300</v>
      </c>
      <c r="I7" s="203" t="s">
        <v>301</v>
      </c>
      <c r="J7" s="203" t="s">
        <v>302</v>
      </c>
      <c r="K7" s="203" t="s">
        <v>303</v>
      </c>
      <c r="L7" s="203" t="s">
        <v>304</v>
      </c>
      <c r="M7" s="130">
        <v>8</v>
      </c>
      <c r="N7" s="130">
        <v>9</v>
      </c>
      <c r="O7" s="130">
        <v>10</v>
      </c>
      <c r="P7" s="130">
        <v>11</v>
      </c>
      <c r="Q7" s="130">
        <v>12</v>
      </c>
      <c r="R7" s="130">
        <v>13</v>
      </c>
    </row>
    <row r="8" spans="1:18" ht="15">
      <c r="A8" s="155"/>
      <c r="B8" s="156" t="s">
        <v>149</v>
      </c>
      <c r="C8" s="343">
        <f>SUM(C9:C24)</f>
        <v>18248</v>
      </c>
      <c r="D8" s="343">
        <f aca="true" t="shared" si="0" ref="D8:L8">SUM(D9:D24)</f>
        <v>18248</v>
      </c>
      <c r="E8" s="343">
        <f t="shared" si="0"/>
        <v>0</v>
      </c>
      <c r="F8" s="343">
        <f t="shared" si="0"/>
        <v>0</v>
      </c>
      <c r="G8" s="343">
        <f t="shared" si="0"/>
        <v>8000</v>
      </c>
      <c r="H8" s="343">
        <f t="shared" si="0"/>
        <v>4153</v>
      </c>
      <c r="I8" s="343">
        <f t="shared" si="0"/>
        <v>4100</v>
      </c>
      <c r="J8" s="343">
        <f t="shared" si="0"/>
        <v>1995</v>
      </c>
      <c r="K8" s="343">
        <f t="shared" si="0"/>
        <v>0</v>
      </c>
      <c r="L8" s="343">
        <f t="shared" si="0"/>
        <v>0</v>
      </c>
      <c r="M8" s="131"/>
      <c r="N8" s="131"/>
      <c r="O8" s="131"/>
      <c r="P8" s="131"/>
      <c r="Q8" s="131"/>
      <c r="R8" s="131"/>
    </row>
    <row r="9" spans="1:18" ht="15">
      <c r="A9" s="157">
        <v>1</v>
      </c>
      <c r="B9" s="158" t="s">
        <v>150</v>
      </c>
      <c r="C9" s="344">
        <f>SUM(D9,K9:L9)</f>
        <v>1186</v>
      </c>
      <c r="D9" s="344">
        <f>SUM(E9:J9)</f>
        <v>1186</v>
      </c>
      <c r="E9" s="344"/>
      <c r="F9" s="344"/>
      <c r="G9" s="357">
        <v>646</v>
      </c>
      <c r="H9" s="357">
        <v>352</v>
      </c>
      <c r="I9" s="357">
        <v>110</v>
      </c>
      <c r="J9" s="357">
        <v>78</v>
      </c>
      <c r="K9" s="344"/>
      <c r="L9" s="344"/>
      <c r="M9" s="131"/>
      <c r="N9" s="131"/>
      <c r="O9" s="131"/>
      <c r="P9" s="131"/>
      <c r="Q9" s="131"/>
      <c r="R9" s="131"/>
    </row>
    <row r="10" spans="1:18" ht="15">
      <c r="A10" s="157">
        <v>2</v>
      </c>
      <c r="B10" s="158" t="s">
        <v>151</v>
      </c>
      <c r="C10" s="344">
        <f aca="true" t="shared" si="1" ref="C10:C24">SUM(D10,K10:L10)</f>
        <v>1261</v>
      </c>
      <c r="D10" s="344">
        <f aca="true" t="shared" si="2" ref="D10:D24">SUM(E10:J10)</f>
        <v>1261</v>
      </c>
      <c r="E10" s="344"/>
      <c r="F10" s="344"/>
      <c r="G10" s="357">
        <v>560</v>
      </c>
      <c r="H10" s="357">
        <v>220</v>
      </c>
      <c r="I10" s="357">
        <v>323</v>
      </c>
      <c r="J10" s="357">
        <v>158</v>
      </c>
      <c r="K10" s="344"/>
      <c r="L10" s="344"/>
      <c r="M10" s="131"/>
      <c r="N10" s="131"/>
      <c r="O10" s="131"/>
      <c r="P10" s="131"/>
      <c r="Q10" s="131"/>
      <c r="R10" s="131"/>
    </row>
    <row r="11" spans="1:18" ht="15">
      <c r="A11" s="157">
        <v>3</v>
      </c>
      <c r="B11" s="158" t="s">
        <v>152</v>
      </c>
      <c r="C11" s="344">
        <f t="shared" si="1"/>
        <v>1044</v>
      </c>
      <c r="D11" s="344">
        <f t="shared" si="2"/>
        <v>1044</v>
      </c>
      <c r="E11" s="344"/>
      <c r="F11" s="344"/>
      <c r="G11" s="357">
        <v>335</v>
      </c>
      <c r="H11" s="357">
        <v>446</v>
      </c>
      <c r="I11" s="357">
        <v>164</v>
      </c>
      <c r="J11" s="357">
        <v>99</v>
      </c>
      <c r="K11" s="344"/>
      <c r="L11" s="344"/>
      <c r="M11" s="131"/>
      <c r="N11" s="131"/>
      <c r="O11" s="131"/>
      <c r="P11" s="131"/>
      <c r="Q11" s="131"/>
      <c r="R11" s="131"/>
    </row>
    <row r="12" spans="1:18" ht="15">
      <c r="A12" s="157">
        <v>4</v>
      </c>
      <c r="B12" s="158" t="s">
        <v>153</v>
      </c>
      <c r="C12" s="344">
        <f t="shared" si="1"/>
        <v>1841</v>
      </c>
      <c r="D12" s="344">
        <f t="shared" si="2"/>
        <v>1841</v>
      </c>
      <c r="E12" s="344"/>
      <c r="F12" s="344"/>
      <c r="G12" s="357">
        <v>791</v>
      </c>
      <c r="H12" s="357">
        <v>564</v>
      </c>
      <c r="I12" s="357">
        <v>363</v>
      </c>
      <c r="J12" s="357">
        <v>123</v>
      </c>
      <c r="K12" s="344"/>
      <c r="L12" s="344"/>
      <c r="M12" s="131"/>
      <c r="N12" s="131"/>
      <c r="O12" s="131"/>
      <c r="P12" s="131"/>
      <c r="Q12" s="131"/>
      <c r="R12" s="131"/>
    </row>
    <row r="13" spans="1:18" ht="15">
      <c r="A13" s="157">
        <v>5</v>
      </c>
      <c r="B13" s="158" t="s">
        <v>154</v>
      </c>
      <c r="C13" s="344">
        <f t="shared" si="1"/>
        <v>1777</v>
      </c>
      <c r="D13" s="344">
        <f t="shared" si="2"/>
        <v>1777</v>
      </c>
      <c r="E13" s="344"/>
      <c r="F13" s="344"/>
      <c r="G13" s="357">
        <v>720</v>
      </c>
      <c r="H13" s="357">
        <v>447</v>
      </c>
      <c r="I13" s="357">
        <v>398</v>
      </c>
      <c r="J13" s="357">
        <v>212</v>
      </c>
      <c r="K13" s="344"/>
      <c r="L13" s="344"/>
      <c r="M13" s="131"/>
      <c r="N13" s="131"/>
      <c r="O13" s="131"/>
      <c r="P13" s="131"/>
      <c r="Q13" s="131"/>
      <c r="R13" s="131"/>
    </row>
    <row r="14" spans="1:18" ht="15">
      <c r="A14" s="157">
        <v>6</v>
      </c>
      <c r="B14" s="158" t="s">
        <v>155</v>
      </c>
      <c r="C14" s="344">
        <f t="shared" si="1"/>
        <v>1195</v>
      </c>
      <c r="D14" s="344">
        <f t="shared" si="2"/>
        <v>1195</v>
      </c>
      <c r="E14" s="344"/>
      <c r="F14" s="344"/>
      <c r="G14" s="357">
        <v>710</v>
      </c>
      <c r="H14" s="357">
        <v>186</v>
      </c>
      <c r="I14" s="357">
        <v>210</v>
      </c>
      <c r="J14" s="357">
        <v>89</v>
      </c>
      <c r="K14" s="344"/>
      <c r="L14" s="344"/>
      <c r="M14" s="131"/>
      <c r="N14" s="131"/>
      <c r="O14" s="131"/>
      <c r="P14" s="131"/>
      <c r="Q14" s="131"/>
      <c r="R14" s="131"/>
    </row>
    <row r="15" spans="1:18" ht="15">
      <c r="A15" s="157">
        <v>7</v>
      </c>
      <c r="B15" s="158" t="s">
        <v>156</v>
      </c>
      <c r="C15" s="344">
        <f t="shared" si="1"/>
        <v>3134</v>
      </c>
      <c r="D15" s="344">
        <f t="shared" si="2"/>
        <v>3134</v>
      </c>
      <c r="E15" s="344"/>
      <c r="F15" s="344"/>
      <c r="G15" s="357">
        <v>1245</v>
      </c>
      <c r="H15" s="357">
        <v>220</v>
      </c>
      <c r="I15" s="357">
        <f>259+1168</f>
        <v>1427</v>
      </c>
      <c r="J15" s="357">
        <v>242</v>
      </c>
      <c r="K15" s="344"/>
      <c r="L15" s="344"/>
      <c r="M15" s="131"/>
      <c r="N15" s="131"/>
      <c r="O15" s="131"/>
      <c r="P15" s="131"/>
      <c r="Q15" s="131"/>
      <c r="R15" s="131"/>
    </row>
    <row r="16" spans="1:18" ht="15">
      <c r="A16" s="157">
        <v>8</v>
      </c>
      <c r="B16" s="158" t="s">
        <v>157</v>
      </c>
      <c r="C16" s="344">
        <f t="shared" si="1"/>
        <v>358</v>
      </c>
      <c r="D16" s="344">
        <f t="shared" si="2"/>
        <v>358</v>
      </c>
      <c r="E16" s="344"/>
      <c r="F16" s="344"/>
      <c r="G16" s="357">
        <v>129</v>
      </c>
      <c r="H16" s="357">
        <v>144</v>
      </c>
      <c r="I16" s="357">
        <v>70</v>
      </c>
      <c r="J16" s="357">
        <v>15</v>
      </c>
      <c r="K16" s="344"/>
      <c r="L16" s="344"/>
      <c r="M16" s="131"/>
      <c r="N16" s="131"/>
      <c r="O16" s="131"/>
      <c r="P16" s="131"/>
      <c r="Q16" s="131"/>
      <c r="R16" s="131"/>
    </row>
    <row r="17" spans="1:18" ht="15">
      <c r="A17" s="157">
        <v>9</v>
      </c>
      <c r="B17" s="158" t="s">
        <v>158</v>
      </c>
      <c r="C17" s="344">
        <f t="shared" si="1"/>
        <v>741</v>
      </c>
      <c r="D17" s="344">
        <f t="shared" si="2"/>
        <v>741</v>
      </c>
      <c r="E17" s="344"/>
      <c r="F17" s="344"/>
      <c r="G17" s="357">
        <v>299</v>
      </c>
      <c r="H17" s="357">
        <v>215</v>
      </c>
      <c r="I17" s="357">
        <v>123</v>
      </c>
      <c r="J17" s="357">
        <v>104</v>
      </c>
      <c r="K17" s="344"/>
      <c r="L17" s="344"/>
      <c r="M17" s="131"/>
      <c r="N17" s="131"/>
      <c r="O17" s="131"/>
      <c r="P17" s="131"/>
      <c r="Q17" s="131"/>
      <c r="R17" s="131"/>
    </row>
    <row r="18" spans="1:18" ht="15">
      <c r="A18" s="157">
        <v>10</v>
      </c>
      <c r="B18" s="158" t="s">
        <v>159</v>
      </c>
      <c r="C18" s="344">
        <f t="shared" si="1"/>
        <v>509</v>
      </c>
      <c r="D18" s="344">
        <f t="shared" si="2"/>
        <v>509</v>
      </c>
      <c r="E18" s="344"/>
      <c r="F18" s="344"/>
      <c r="G18" s="357">
        <v>169</v>
      </c>
      <c r="H18" s="357">
        <v>189</v>
      </c>
      <c r="I18" s="357">
        <v>96</v>
      </c>
      <c r="J18" s="357">
        <v>55</v>
      </c>
      <c r="K18" s="344"/>
      <c r="L18" s="344"/>
      <c r="M18" s="131"/>
      <c r="N18" s="131"/>
      <c r="O18" s="131"/>
      <c r="P18" s="131"/>
      <c r="Q18" s="131"/>
      <c r="R18" s="131"/>
    </row>
    <row r="19" spans="1:18" ht="15">
      <c r="A19" s="157">
        <v>11</v>
      </c>
      <c r="B19" s="158" t="s">
        <v>160</v>
      </c>
      <c r="C19" s="344">
        <f t="shared" si="1"/>
        <v>476</v>
      </c>
      <c r="D19" s="344">
        <f t="shared" si="2"/>
        <v>476</v>
      </c>
      <c r="E19" s="344"/>
      <c r="F19" s="344"/>
      <c r="G19" s="357">
        <v>205</v>
      </c>
      <c r="H19" s="357">
        <v>97</v>
      </c>
      <c r="I19" s="357">
        <v>136</v>
      </c>
      <c r="J19" s="357">
        <v>38</v>
      </c>
      <c r="K19" s="344"/>
      <c r="L19" s="344"/>
      <c r="M19" s="131"/>
      <c r="N19" s="131"/>
      <c r="O19" s="131"/>
      <c r="P19" s="131"/>
      <c r="Q19" s="131"/>
      <c r="R19" s="131"/>
    </row>
    <row r="20" spans="1:18" ht="15">
      <c r="A20" s="157">
        <v>12</v>
      </c>
      <c r="B20" s="158" t="s">
        <v>161</v>
      </c>
      <c r="C20" s="344">
        <f t="shared" si="1"/>
        <v>642</v>
      </c>
      <c r="D20" s="344">
        <f>SUM(E20:J20)</f>
        <v>642</v>
      </c>
      <c r="E20" s="344"/>
      <c r="F20" s="344"/>
      <c r="G20" s="357">
        <v>239</v>
      </c>
      <c r="H20" s="357">
        <v>204</v>
      </c>
      <c r="I20" s="357">
        <v>139</v>
      </c>
      <c r="J20" s="357">
        <v>60</v>
      </c>
      <c r="K20" s="344"/>
      <c r="L20" s="344"/>
      <c r="M20" s="131"/>
      <c r="N20" s="131"/>
      <c r="O20" s="131"/>
      <c r="P20" s="131"/>
      <c r="Q20" s="131"/>
      <c r="R20" s="131"/>
    </row>
    <row r="21" spans="1:18" ht="15">
      <c r="A21" s="157">
        <v>13</v>
      </c>
      <c r="B21" s="158" t="s">
        <v>162</v>
      </c>
      <c r="C21" s="344">
        <f t="shared" si="1"/>
        <v>479</v>
      </c>
      <c r="D21" s="344">
        <f t="shared" si="2"/>
        <v>479</v>
      </c>
      <c r="E21" s="344"/>
      <c r="F21" s="344"/>
      <c r="G21" s="357">
        <v>175</v>
      </c>
      <c r="H21" s="357">
        <v>128</v>
      </c>
      <c r="I21" s="357">
        <v>143</v>
      </c>
      <c r="J21" s="357">
        <v>33</v>
      </c>
      <c r="K21" s="344"/>
      <c r="L21" s="344"/>
      <c r="M21" s="131"/>
      <c r="N21" s="131"/>
      <c r="O21" s="131"/>
      <c r="P21" s="131"/>
      <c r="Q21" s="131"/>
      <c r="R21" s="131"/>
    </row>
    <row r="22" spans="1:18" ht="15">
      <c r="A22" s="157">
        <v>14</v>
      </c>
      <c r="B22" s="158" t="s">
        <v>163</v>
      </c>
      <c r="C22" s="344">
        <f t="shared" si="1"/>
        <v>539</v>
      </c>
      <c r="D22" s="344">
        <f t="shared" si="2"/>
        <v>539</v>
      </c>
      <c r="E22" s="344"/>
      <c r="F22" s="344"/>
      <c r="G22" s="357">
        <v>222</v>
      </c>
      <c r="H22" s="357">
        <v>168</v>
      </c>
      <c r="I22" s="357">
        <v>57</v>
      </c>
      <c r="J22" s="357">
        <v>92</v>
      </c>
      <c r="K22" s="344"/>
      <c r="L22" s="344"/>
      <c r="M22" s="131"/>
      <c r="N22" s="131"/>
      <c r="O22" s="131"/>
      <c r="P22" s="131"/>
      <c r="Q22" s="131"/>
      <c r="R22" s="131"/>
    </row>
    <row r="23" spans="1:18" ht="15">
      <c r="A23" s="157">
        <v>15</v>
      </c>
      <c r="B23" s="158" t="s">
        <v>164</v>
      </c>
      <c r="C23" s="344">
        <f t="shared" si="1"/>
        <v>1157</v>
      </c>
      <c r="D23" s="344">
        <f t="shared" si="2"/>
        <v>1157</v>
      </c>
      <c r="E23" s="344"/>
      <c r="F23" s="344"/>
      <c r="G23" s="357">
        <v>379</v>
      </c>
      <c r="H23" s="357">
        <v>351</v>
      </c>
      <c r="I23" s="357">
        <v>114</v>
      </c>
      <c r="J23" s="357">
        <v>313</v>
      </c>
      <c r="K23" s="344"/>
      <c r="L23" s="344"/>
      <c r="M23" s="131"/>
      <c r="N23" s="131"/>
      <c r="O23" s="131"/>
      <c r="P23" s="131"/>
      <c r="Q23" s="131"/>
      <c r="R23" s="131"/>
    </row>
    <row r="24" spans="1:18" ht="15">
      <c r="A24" s="153">
        <v>16</v>
      </c>
      <c r="B24" s="154" t="s">
        <v>165</v>
      </c>
      <c r="C24" s="346">
        <f t="shared" si="1"/>
        <v>1909</v>
      </c>
      <c r="D24" s="346">
        <f t="shared" si="2"/>
        <v>1909</v>
      </c>
      <c r="E24" s="346"/>
      <c r="F24" s="346"/>
      <c r="G24" s="358">
        <f>1175+1</f>
        <v>1176</v>
      </c>
      <c r="H24" s="358">
        <v>222</v>
      </c>
      <c r="I24" s="358">
        <v>227</v>
      </c>
      <c r="J24" s="358">
        <v>284</v>
      </c>
      <c r="K24" s="346"/>
      <c r="L24" s="345"/>
      <c r="M24" s="131"/>
      <c r="N24" s="131"/>
      <c r="O24" s="131"/>
      <c r="P24" s="131"/>
      <c r="Q24" s="131"/>
      <c r="R24" s="131"/>
    </row>
    <row r="25" ht="14.25" customHeight="1">
      <c r="A25" s="128" t="s">
        <v>498</v>
      </c>
    </row>
  </sheetData>
  <sheetProtection/>
  <mergeCells count="11">
    <mergeCell ref="E5:J5"/>
    <mergeCell ref="K5:K6"/>
    <mergeCell ref="L5:L6"/>
    <mergeCell ref="M5:R5"/>
    <mergeCell ref="A2:R2"/>
    <mergeCell ref="A3:R3"/>
    <mergeCell ref="P4:R4"/>
    <mergeCell ref="A5:A6"/>
    <mergeCell ref="B5:B6"/>
    <mergeCell ref="C5:C6"/>
    <mergeCell ref="D5:D6"/>
  </mergeCells>
  <printOptions horizontalCentered="1"/>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M16"/>
  <sheetViews>
    <sheetView showZeros="0" zoomScale="120" zoomScaleNormal="120" zoomScalePageLayoutView="0" workbookViewId="0" topLeftCell="A1">
      <selection activeCell="A1" sqref="A1"/>
    </sheetView>
  </sheetViews>
  <sheetFormatPr defaultColWidth="9.140625" defaultRowHeight="15"/>
  <cols>
    <col min="1" max="1" width="5.7109375" style="243" customWidth="1"/>
    <col min="2" max="2" width="25.57421875" style="243" customWidth="1"/>
    <col min="3" max="3" width="11.57421875" style="243" customWidth="1"/>
    <col min="4" max="4" width="10.57421875" style="243" customWidth="1"/>
    <col min="5" max="5" width="9.421875" style="243" customWidth="1"/>
    <col min="6" max="6" width="8.28125" style="243" customWidth="1"/>
    <col min="7" max="7" width="9.00390625" style="243" customWidth="1"/>
    <col min="8" max="8" width="11.57421875" style="243" customWidth="1"/>
    <col min="9" max="9" width="9.421875" style="243" customWidth="1"/>
    <col min="10" max="10" width="9.57421875" style="243" customWidth="1"/>
    <col min="11" max="11" width="8.8515625" style="243" customWidth="1"/>
    <col min="12" max="12" width="8.28125" style="243" customWidth="1"/>
    <col min="13" max="13" width="10.8515625" style="243" customWidth="1"/>
    <col min="14" max="16384" width="9.140625" style="243" customWidth="1"/>
  </cols>
  <sheetData>
    <row r="1" ht="15">
      <c r="M1" s="152" t="s">
        <v>387</v>
      </c>
    </row>
    <row r="2" spans="1:13" ht="33" customHeight="1">
      <c r="A2" s="478" t="s">
        <v>482</v>
      </c>
      <c r="B2" s="478"/>
      <c r="C2" s="478"/>
      <c r="D2" s="478"/>
      <c r="E2" s="478"/>
      <c r="F2" s="478"/>
      <c r="G2" s="478"/>
      <c r="H2" s="478"/>
      <c r="I2" s="478"/>
      <c r="J2" s="478"/>
      <c r="K2" s="478"/>
      <c r="L2" s="478"/>
      <c r="M2" s="478"/>
    </row>
    <row r="3" ht="15">
      <c r="M3" s="151" t="s">
        <v>10</v>
      </c>
    </row>
    <row r="4" spans="1:13" ht="15">
      <c r="A4" s="460" t="s">
        <v>0</v>
      </c>
      <c r="B4" s="460" t="s">
        <v>323</v>
      </c>
      <c r="C4" s="460" t="s">
        <v>497</v>
      </c>
      <c r="D4" s="460" t="s">
        <v>449</v>
      </c>
      <c r="E4" s="460"/>
      <c r="F4" s="460"/>
      <c r="G4" s="460"/>
      <c r="H4" s="460" t="s">
        <v>483</v>
      </c>
      <c r="I4" s="460" t="s">
        <v>484</v>
      </c>
      <c r="J4" s="460"/>
      <c r="K4" s="460"/>
      <c r="L4" s="460"/>
      <c r="M4" s="460" t="s">
        <v>485</v>
      </c>
    </row>
    <row r="5" spans="1:13" ht="36" customHeight="1">
      <c r="A5" s="460"/>
      <c r="B5" s="460"/>
      <c r="C5" s="460"/>
      <c r="D5" s="460" t="s">
        <v>324</v>
      </c>
      <c r="E5" s="460"/>
      <c r="F5" s="460" t="s">
        <v>325</v>
      </c>
      <c r="G5" s="460" t="s">
        <v>326</v>
      </c>
      <c r="H5" s="460"/>
      <c r="I5" s="460" t="s">
        <v>324</v>
      </c>
      <c r="J5" s="460"/>
      <c r="K5" s="460" t="s">
        <v>325</v>
      </c>
      <c r="L5" s="460" t="s">
        <v>326</v>
      </c>
      <c r="M5" s="460"/>
    </row>
    <row r="6" spans="1:13" ht="60">
      <c r="A6" s="460"/>
      <c r="B6" s="460"/>
      <c r="C6" s="460"/>
      <c r="D6" s="305" t="s">
        <v>130</v>
      </c>
      <c r="E6" s="305" t="s">
        <v>433</v>
      </c>
      <c r="F6" s="460"/>
      <c r="G6" s="460"/>
      <c r="H6" s="460"/>
      <c r="I6" s="305" t="s">
        <v>130</v>
      </c>
      <c r="J6" s="305" t="s">
        <v>433</v>
      </c>
      <c r="K6" s="460"/>
      <c r="L6" s="460"/>
      <c r="M6" s="460"/>
    </row>
    <row r="7" spans="1:13" ht="15">
      <c r="A7" s="305" t="s">
        <v>1</v>
      </c>
      <c r="B7" s="305" t="s">
        <v>6</v>
      </c>
      <c r="C7" s="306" t="s">
        <v>51</v>
      </c>
      <c r="D7" s="306" t="s">
        <v>52</v>
      </c>
      <c r="E7" s="306" t="s">
        <v>53</v>
      </c>
      <c r="F7" s="306" t="s">
        <v>54</v>
      </c>
      <c r="G7" s="306" t="s">
        <v>383</v>
      </c>
      <c r="H7" s="306" t="s">
        <v>384</v>
      </c>
      <c r="I7" s="306" t="s">
        <v>301</v>
      </c>
      <c r="J7" s="306" t="s">
        <v>302</v>
      </c>
      <c r="K7" s="306" t="s">
        <v>303</v>
      </c>
      <c r="L7" s="306" t="s">
        <v>385</v>
      </c>
      <c r="M7" s="306" t="s">
        <v>386</v>
      </c>
    </row>
    <row r="8" spans="1:13" ht="15">
      <c r="A8" s="310">
        <v>1</v>
      </c>
      <c r="B8" s="312" t="str">
        <f>'B28'!B8</f>
        <v>Quỹ Xóa đói giảm nghèo</v>
      </c>
      <c r="C8" s="312">
        <f>'B28'!C8</f>
        <v>25769.722822</v>
      </c>
      <c r="D8" s="312">
        <f>'B28'!H8</f>
        <v>46224</v>
      </c>
      <c r="E8" s="312">
        <f>'B28'!I8</f>
        <v>3500</v>
      </c>
      <c r="F8" s="312">
        <f>'B28'!J8</f>
        <v>24723</v>
      </c>
      <c r="G8" s="312">
        <f aca="true" t="shared" si="0" ref="G8:G15">D8-F8</f>
        <v>21501</v>
      </c>
      <c r="H8" s="312">
        <f aca="true" t="shared" si="1" ref="H8:H15">C8+D8-F8</f>
        <v>47270.722821999996</v>
      </c>
      <c r="I8" s="312">
        <v>16000</v>
      </c>
      <c r="J8" s="312">
        <v>2000</v>
      </c>
      <c r="K8" s="312">
        <v>15000</v>
      </c>
      <c r="L8" s="312">
        <f aca="true" t="shared" si="2" ref="L8:L15">I8-K8</f>
        <v>1000</v>
      </c>
      <c r="M8" s="312">
        <f aca="true" t="shared" si="3" ref="M8:M15">H8+I8-K8</f>
        <v>48270.722821999996</v>
      </c>
    </row>
    <row r="9" spans="1:13" ht="15">
      <c r="A9" s="270">
        <v>2</v>
      </c>
      <c r="B9" s="314" t="str">
        <f>'B28'!B9</f>
        <v>Quỹ Đền ơn đáp nghĩa</v>
      </c>
      <c r="C9" s="314">
        <f>'B28'!C9</f>
        <v>1139</v>
      </c>
      <c r="D9" s="314">
        <f>'B28'!H9</f>
        <v>372</v>
      </c>
      <c r="E9" s="314">
        <f>'B28'!I9</f>
        <v>0</v>
      </c>
      <c r="F9" s="314">
        <f>'B28'!J9</f>
        <v>361</v>
      </c>
      <c r="G9" s="314">
        <f t="shared" si="0"/>
        <v>11</v>
      </c>
      <c r="H9" s="314">
        <f t="shared" si="1"/>
        <v>1150</v>
      </c>
      <c r="I9" s="314">
        <f>374</f>
        <v>374</v>
      </c>
      <c r="J9" s="314"/>
      <c r="K9" s="314">
        <f>10+489</f>
        <v>499</v>
      </c>
      <c r="L9" s="314">
        <f t="shared" si="2"/>
        <v>-125</v>
      </c>
      <c r="M9" s="314">
        <f t="shared" si="3"/>
        <v>1025</v>
      </c>
    </row>
    <row r="10" spans="1:13" ht="30" hidden="1">
      <c r="A10" s="270">
        <v>3</v>
      </c>
      <c r="B10" s="314" t="str">
        <f>'B28'!B10</f>
        <v>Quỹ Chăm sóc và phát huy vai trò người cao tuổi </v>
      </c>
      <c r="C10" s="314">
        <f>'B28'!C10</f>
        <v>0</v>
      </c>
      <c r="D10" s="314">
        <f>'B28'!H10</f>
        <v>0</v>
      </c>
      <c r="E10" s="314">
        <f>'B28'!I10</f>
        <v>0</v>
      </c>
      <c r="F10" s="314">
        <f>'B28'!J10</f>
        <v>0</v>
      </c>
      <c r="G10" s="314">
        <f t="shared" si="0"/>
        <v>0</v>
      </c>
      <c r="H10" s="314">
        <f t="shared" si="1"/>
        <v>0</v>
      </c>
      <c r="I10" s="314"/>
      <c r="J10" s="314"/>
      <c r="K10" s="314"/>
      <c r="L10" s="314">
        <f t="shared" si="2"/>
        <v>0</v>
      </c>
      <c r="M10" s="314">
        <f t="shared" si="3"/>
        <v>0</v>
      </c>
    </row>
    <row r="11" spans="1:13" ht="15" hidden="1">
      <c r="A11" s="270">
        <v>4</v>
      </c>
      <c r="B11" s="314" t="str">
        <f>'B28'!B11</f>
        <v>Quỹ Vì người nghèo</v>
      </c>
      <c r="C11" s="314">
        <f>'B28'!C11</f>
        <v>0</v>
      </c>
      <c r="D11" s="314">
        <f>'B28'!H11</f>
        <v>0</v>
      </c>
      <c r="E11" s="314">
        <f>'B28'!I11</f>
        <v>0</v>
      </c>
      <c r="F11" s="314">
        <f>'B28'!J11</f>
        <v>0</v>
      </c>
      <c r="G11" s="314">
        <f t="shared" si="0"/>
        <v>0</v>
      </c>
      <c r="H11" s="314">
        <f t="shared" si="1"/>
        <v>0</v>
      </c>
      <c r="I11" s="314"/>
      <c r="J11" s="314"/>
      <c r="K11" s="314"/>
      <c r="L11" s="314">
        <f t="shared" si="2"/>
        <v>0</v>
      </c>
      <c r="M11" s="314">
        <f t="shared" si="3"/>
        <v>0</v>
      </c>
    </row>
    <row r="12" spans="1:13" ht="15" hidden="1">
      <c r="A12" s="270">
        <v>5</v>
      </c>
      <c r="B12" s="314" t="str">
        <f>'B28'!B12</f>
        <v>Quỹ Từ thiện xã hội</v>
      </c>
      <c r="C12" s="314">
        <f>'B28'!C12</f>
        <v>0</v>
      </c>
      <c r="D12" s="314">
        <f>'B28'!H12</f>
        <v>0</v>
      </c>
      <c r="E12" s="314">
        <f>'B28'!I12</f>
        <v>0</v>
      </c>
      <c r="F12" s="314">
        <f>'B28'!J12</f>
        <v>0</v>
      </c>
      <c r="G12" s="314">
        <f t="shared" si="0"/>
        <v>0</v>
      </c>
      <c r="H12" s="314">
        <f t="shared" si="1"/>
        <v>0</v>
      </c>
      <c r="I12" s="314"/>
      <c r="J12" s="314"/>
      <c r="K12" s="314"/>
      <c r="L12" s="314">
        <f t="shared" si="2"/>
        <v>0</v>
      </c>
      <c r="M12" s="314">
        <f t="shared" si="3"/>
        <v>0</v>
      </c>
    </row>
    <row r="13" spans="1:13" ht="30" hidden="1">
      <c r="A13" s="270">
        <v>6</v>
      </c>
      <c r="B13" s="314" t="str">
        <f>'B28'!B13</f>
        <v>Quỹ Vì biển đảo quê hương - Vì tuyến đầu Tổ quốc</v>
      </c>
      <c r="C13" s="314">
        <f>'B28'!C13</f>
        <v>0</v>
      </c>
      <c r="D13" s="314">
        <f>'B28'!H13</f>
        <v>0</v>
      </c>
      <c r="E13" s="314">
        <f>'B28'!I13</f>
        <v>0</v>
      </c>
      <c r="F13" s="314">
        <f>'B28'!J13</f>
        <v>0</v>
      </c>
      <c r="G13" s="314">
        <f t="shared" si="0"/>
        <v>0</v>
      </c>
      <c r="H13" s="314">
        <f t="shared" si="1"/>
        <v>0</v>
      </c>
      <c r="I13" s="314"/>
      <c r="J13" s="314"/>
      <c r="K13" s="314"/>
      <c r="L13" s="314">
        <f t="shared" si="2"/>
        <v>0</v>
      </c>
      <c r="M13" s="314">
        <f t="shared" si="3"/>
        <v>0</v>
      </c>
    </row>
    <row r="14" spans="1:13" ht="15" hidden="1">
      <c r="A14" s="270">
        <v>7</v>
      </c>
      <c r="B14" s="314" t="str">
        <f>'B28'!B14</f>
        <v>Quỹ Khuyến học</v>
      </c>
      <c r="C14" s="314">
        <f>'B28'!C14</f>
        <v>0</v>
      </c>
      <c r="D14" s="314">
        <f>'B28'!H14</f>
        <v>0</v>
      </c>
      <c r="E14" s="314">
        <f>'B28'!I14</f>
        <v>0</v>
      </c>
      <c r="F14" s="314">
        <f>'B28'!J14</f>
        <v>0</v>
      </c>
      <c r="G14" s="314">
        <f t="shared" si="0"/>
        <v>0</v>
      </c>
      <c r="H14" s="314">
        <f t="shared" si="1"/>
        <v>0</v>
      </c>
      <c r="I14" s="314"/>
      <c r="J14" s="314"/>
      <c r="K14" s="314"/>
      <c r="L14" s="314">
        <f t="shared" si="2"/>
        <v>0</v>
      </c>
      <c r="M14" s="314">
        <f t="shared" si="3"/>
        <v>0</v>
      </c>
    </row>
    <row r="15" spans="1:13" ht="15">
      <c r="A15" s="270"/>
      <c r="B15" s="313"/>
      <c r="C15" s="314"/>
      <c r="D15" s="314"/>
      <c r="E15" s="314"/>
      <c r="F15" s="314"/>
      <c r="G15" s="314">
        <f t="shared" si="0"/>
        <v>0</v>
      </c>
      <c r="H15" s="314">
        <f t="shared" si="1"/>
        <v>0</v>
      </c>
      <c r="I15" s="314"/>
      <c r="J15" s="314"/>
      <c r="K15" s="314"/>
      <c r="L15" s="314">
        <f t="shared" si="2"/>
        <v>0</v>
      </c>
      <c r="M15" s="314">
        <f t="shared" si="3"/>
        <v>0</v>
      </c>
    </row>
    <row r="16" spans="1:13" ht="15">
      <c r="A16" s="307"/>
      <c r="B16" s="308" t="s">
        <v>330</v>
      </c>
      <c r="C16" s="309">
        <f>SUM(C8:C15)</f>
        <v>26908.722822</v>
      </c>
      <c r="D16" s="309">
        <f aca="true" t="shared" si="4" ref="D16:M16">SUM(D8:D15)</f>
        <v>46596</v>
      </c>
      <c r="E16" s="309">
        <f t="shared" si="4"/>
        <v>3500</v>
      </c>
      <c r="F16" s="309">
        <f t="shared" si="4"/>
        <v>25084</v>
      </c>
      <c r="G16" s="309">
        <f t="shared" si="4"/>
        <v>21512</v>
      </c>
      <c r="H16" s="309">
        <f t="shared" si="4"/>
        <v>48420.722821999996</v>
      </c>
      <c r="I16" s="309">
        <f t="shared" si="4"/>
        <v>16374</v>
      </c>
      <c r="J16" s="309">
        <f t="shared" si="4"/>
        <v>2000</v>
      </c>
      <c r="K16" s="309">
        <f t="shared" si="4"/>
        <v>15499</v>
      </c>
      <c r="L16" s="309">
        <f t="shared" si="4"/>
        <v>875</v>
      </c>
      <c r="M16" s="309">
        <f t="shared" si="4"/>
        <v>49295.722821999996</v>
      </c>
    </row>
  </sheetData>
  <sheetProtection/>
  <mergeCells count="14">
    <mergeCell ref="M4:M6"/>
    <mergeCell ref="D5:E5"/>
    <mergeCell ref="F5:F6"/>
    <mergeCell ref="G5:G6"/>
    <mergeCell ref="I5:J5"/>
    <mergeCell ref="K5:K6"/>
    <mergeCell ref="L5:L6"/>
    <mergeCell ref="H4:H6"/>
    <mergeCell ref="A2:M2"/>
    <mergeCell ref="A4:A6"/>
    <mergeCell ref="B4:B6"/>
    <mergeCell ref="C4:C6"/>
    <mergeCell ref="D4:G4"/>
    <mergeCell ref="I4:L4"/>
  </mergeCells>
  <printOptions horizontalCentered="1"/>
  <pageMargins left="0.4" right="0.4"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C00000"/>
  </sheetPr>
  <dimension ref="A1:G33"/>
  <sheetViews>
    <sheetView showZeros="0" zoomScale="110" zoomScaleNormal="110" zoomScalePageLayoutView="0" workbookViewId="0" topLeftCell="A1">
      <selection activeCell="E1" sqref="E1"/>
    </sheetView>
  </sheetViews>
  <sheetFormatPr defaultColWidth="9.140625" defaultRowHeight="15"/>
  <cols>
    <col min="1" max="1" width="5.8515625" style="243" customWidth="1"/>
    <col min="2" max="2" width="49.00390625" style="243" customWidth="1"/>
    <col min="3" max="5" width="12.421875" style="243" customWidth="1"/>
    <col min="6" max="16384" width="9.140625" style="243" customWidth="1"/>
  </cols>
  <sheetData>
    <row r="1" spans="1:5" ht="15">
      <c r="A1" s="412" t="s">
        <v>500</v>
      </c>
      <c r="E1" s="152" t="s">
        <v>502</v>
      </c>
    </row>
    <row r="2" spans="1:5" ht="69.75" customHeight="1">
      <c r="A2" s="438" t="s">
        <v>503</v>
      </c>
      <c r="B2" s="438"/>
      <c r="C2" s="438"/>
      <c r="D2" s="438"/>
      <c r="E2" s="438"/>
    </row>
    <row r="3" spans="1:7" ht="15">
      <c r="A3" s="440" t="s">
        <v>501</v>
      </c>
      <c r="B3" s="440"/>
      <c r="C3" s="440"/>
      <c r="D3" s="440"/>
      <c r="E3" s="440"/>
      <c r="F3" s="128"/>
      <c r="G3" s="128"/>
    </row>
    <row r="4" ht="15.75">
      <c r="E4" s="245" t="s">
        <v>10</v>
      </c>
    </row>
    <row r="5" spans="1:5" ht="15.75">
      <c r="A5" s="439" t="s">
        <v>0</v>
      </c>
      <c r="B5" s="439" t="s">
        <v>9</v>
      </c>
      <c r="C5" s="439" t="s">
        <v>177</v>
      </c>
      <c r="D5" s="439" t="s">
        <v>131</v>
      </c>
      <c r="E5" s="439"/>
    </row>
    <row r="6" spans="1:5" ht="31.5">
      <c r="A6" s="439"/>
      <c r="B6" s="439"/>
      <c r="C6" s="439"/>
      <c r="D6" s="246" t="s">
        <v>184</v>
      </c>
      <c r="E6" s="246" t="s">
        <v>185</v>
      </c>
    </row>
    <row r="7" spans="1:5" ht="15.75">
      <c r="A7" s="247" t="s">
        <v>1</v>
      </c>
      <c r="B7" s="247" t="s">
        <v>6</v>
      </c>
      <c r="C7" s="247" t="s">
        <v>178</v>
      </c>
      <c r="D7" s="247">
        <v>2</v>
      </c>
      <c r="E7" s="247">
        <v>3</v>
      </c>
    </row>
    <row r="8" spans="1:5" ht="15.75">
      <c r="A8" s="248"/>
      <c r="B8" s="249" t="s">
        <v>23</v>
      </c>
      <c r="C8" s="250">
        <f>SUM(C9,C28,C33)</f>
        <v>1213887</v>
      </c>
      <c r="D8" s="250">
        <f>SUM(D9,D28,D33)</f>
        <v>1008188</v>
      </c>
      <c r="E8" s="250">
        <f>SUM(E9,E28,E33)</f>
        <v>205699</v>
      </c>
    </row>
    <row r="9" spans="1:5" ht="15.75">
      <c r="A9" s="252" t="s">
        <v>1</v>
      </c>
      <c r="B9" s="253" t="s">
        <v>96</v>
      </c>
      <c r="C9" s="254">
        <f>SUM(C10,C20,C24:C27)</f>
        <v>1207699</v>
      </c>
      <c r="D9" s="254">
        <f>SUM(D10,D20,D24:D27)</f>
        <v>1004106</v>
      </c>
      <c r="E9" s="254">
        <f>SUM(E10,E20,E24:E27)</f>
        <v>203593</v>
      </c>
    </row>
    <row r="10" spans="1:5" ht="15.75">
      <c r="A10" s="252" t="s">
        <v>2</v>
      </c>
      <c r="B10" s="253" t="s">
        <v>93</v>
      </c>
      <c r="C10" s="254">
        <f>SUM(C11,C18,C19)</f>
        <v>0</v>
      </c>
      <c r="D10" s="254">
        <f>'[3]sheet1'!D14</f>
        <v>0</v>
      </c>
      <c r="E10" s="254"/>
    </row>
    <row r="11" spans="1:5" ht="15.75">
      <c r="A11" s="256">
        <v>1</v>
      </c>
      <c r="B11" s="257" t="s">
        <v>94</v>
      </c>
      <c r="C11" s="258">
        <f>SUM(D11:E11)</f>
        <v>0</v>
      </c>
      <c r="D11" s="258">
        <f>D10-D18-D19</f>
        <v>0</v>
      </c>
      <c r="E11" s="258">
        <f>E10-E18-E19</f>
        <v>0</v>
      </c>
    </row>
    <row r="12" spans="1:5" ht="15.75">
      <c r="A12" s="256"/>
      <c r="B12" s="260" t="s">
        <v>97</v>
      </c>
      <c r="C12" s="258"/>
      <c r="D12" s="258"/>
      <c r="E12" s="258"/>
    </row>
    <row r="13" spans="1:5" ht="15.75">
      <c r="A13" s="256"/>
      <c r="B13" s="260" t="s">
        <v>187</v>
      </c>
      <c r="C13" s="258"/>
      <c r="D13" s="258"/>
      <c r="E13" s="258"/>
    </row>
    <row r="14" spans="1:5" ht="15.75">
      <c r="A14" s="256"/>
      <c r="B14" s="260" t="s">
        <v>188</v>
      </c>
      <c r="C14" s="258"/>
      <c r="D14" s="258"/>
      <c r="E14" s="258"/>
    </row>
    <row r="15" spans="1:5" ht="15.75">
      <c r="A15" s="256"/>
      <c r="B15" s="260" t="s">
        <v>98</v>
      </c>
      <c r="C15" s="258"/>
      <c r="D15" s="258"/>
      <c r="E15" s="258"/>
    </row>
    <row r="16" spans="1:5" ht="15.75">
      <c r="A16" s="256"/>
      <c r="B16" s="260" t="s">
        <v>186</v>
      </c>
      <c r="C16" s="261"/>
      <c r="D16" s="261"/>
      <c r="E16" s="261"/>
    </row>
    <row r="17" spans="1:5" ht="15.75">
      <c r="A17" s="256"/>
      <c r="B17" s="260" t="s">
        <v>189</v>
      </c>
      <c r="C17" s="261"/>
      <c r="D17" s="261"/>
      <c r="E17" s="261"/>
    </row>
    <row r="18" spans="1:5" ht="63">
      <c r="A18" s="256">
        <v>2</v>
      </c>
      <c r="B18" s="257" t="s">
        <v>104</v>
      </c>
      <c r="C18" s="258">
        <f>SUM(D18:E18)</f>
        <v>0</v>
      </c>
      <c r="D18" s="258"/>
      <c r="E18" s="258"/>
    </row>
    <row r="19" spans="1:5" ht="15.75">
      <c r="A19" s="256">
        <v>3</v>
      </c>
      <c r="B19" s="257" t="s">
        <v>105</v>
      </c>
      <c r="C19" s="258">
        <f>SUM(D19:E19)</f>
        <v>0</v>
      </c>
      <c r="D19" s="258"/>
      <c r="E19" s="258"/>
    </row>
    <row r="20" spans="1:5" ht="15.75">
      <c r="A20" s="252" t="s">
        <v>3</v>
      </c>
      <c r="B20" s="253" t="s">
        <v>7</v>
      </c>
      <c r="C20" s="254">
        <f>SUM(D20:E20)</f>
        <v>1181169</v>
      </c>
      <c r="D20" s="254">
        <f>'[3]sheet1'!D19-E8-D26-D28</f>
        <v>980476</v>
      </c>
      <c r="E20" s="254">
        <f>'[3]sheet1'!D49-E26-E28</f>
        <v>200693</v>
      </c>
    </row>
    <row r="21" spans="1:5" ht="15.75">
      <c r="A21" s="256"/>
      <c r="B21" s="260" t="s">
        <v>106</v>
      </c>
      <c r="C21" s="258"/>
      <c r="D21" s="258"/>
      <c r="E21" s="258"/>
    </row>
    <row r="22" spans="1:5" ht="15.75">
      <c r="A22" s="256">
        <v>1</v>
      </c>
      <c r="B22" s="260" t="s">
        <v>100</v>
      </c>
      <c r="C22" s="261">
        <f aca="true" t="shared" si="0" ref="C22:C27">SUM(D22:E22)</f>
        <v>529374.1776</v>
      </c>
      <c r="D22" s="261">
        <f>'[3]sheet1'!D32</f>
        <v>529041</v>
      </c>
      <c r="E22" s="261">
        <f>'B41'!L9</f>
        <v>333.17760000000004</v>
      </c>
    </row>
    <row r="23" spans="1:5" ht="15.75">
      <c r="A23" s="256">
        <v>2</v>
      </c>
      <c r="B23" s="260" t="s">
        <v>101</v>
      </c>
      <c r="C23" s="261">
        <f t="shared" si="0"/>
        <v>0</v>
      </c>
      <c r="D23" s="258"/>
      <c r="E23" s="258"/>
    </row>
    <row r="24" spans="1:5" ht="15.75">
      <c r="A24" s="252" t="s">
        <v>4</v>
      </c>
      <c r="B24" s="253" t="s">
        <v>47</v>
      </c>
      <c r="C24" s="254">
        <f t="shared" si="0"/>
        <v>0</v>
      </c>
      <c r="D24" s="258"/>
      <c r="E24" s="258"/>
    </row>
    <row r="25" spans="1:5" ht="15.75">
      <c r="A25" s="252" t="s">
        <v>21</v>
      </c>
      <c r="B25" s="253" t="s">
        <v>48</v>
      </c>
      <c r="C25" s="254">
        <f t="shared" si="0"/>
        <v>0</v>
      </c>
      <c r="D25" s="258"/>
      <c r="E25" s="258"/>
    </row>
    <row r="26" spans="1:5" ht="15.75">
      <c r="A26" s="252" t="s">
        <v>46</v>
      </c>
      <c r="B26" s="253" t="s">
        <v>8</v>
      </c>
      <c r="C26" s="254">
        <f t="shared" si="0"/>
        <v>26530</v>
      </c>
      <c r="D26" s="254">
        <f>'[3]sheet1'!D53</f>
        <v>23630</v>
      </c>
      <c r="E26" s="254">
        <f>'B41'!O9</f>
        <v>2900</v>
      </c>
    </row>
    <row r="27" spans="1:5" ht="15.75">
      <c r="A27" s="252" t="s">
        <v>108</v>
      </c>
      <c r="B27" s="253" t="s">
        <v>26</v>
      </c>
      <c r="C27" s="254">
        <f t="shared" si="0"/>
        <v>0</v>
      </c>
      <c r="D27" s="258"/>
      <c r="E27" s="258"/>
    </row>
    <row r="28" spans="1:5" ht="15.75">
      <c r="A28" s="252" t="s">
        <v>6</v>
      </c>
      <c r="B28" s="253" t="s">
        <v>110</v>
      </c>
      <c r="C28" s="254">
        <f>SUM(C29:C30)</f>
        <v>6188</v>
      </c>
      <c r="D28" s="254">
        <f>SUM(D29:D30)</f>
        <v>4082</v>
      </c>
      <c r="E28" s="254">
        <f>SUM(E29:E30)</f>
        <v>2106</v>
      </c>
    </row>
    <row r="29" spans="1:5" ht="15.75">
      <c r="A29" s="252" t="s">
        <v>2</v>
      </c>
      <c r="B29" s="253" t="s">
        <v>28</v>
      </c>
      <c r="C29" s="258"/>
      <c r="D29" s="258"/>
      <c r="E29" s="258"/>
    </row>
    <row r="30" spans="1:5" ht="15.75">
      <c r="A30" s="252" t="s">
        <v>3</v>
      </c>
      <c r="B30" s="253" t="s">
        <v>29</v>
      </c>
      <c r="C30" s="254">
        <f>SUM(C31:C32)</f>
        <v>6188</v>
      </c>
      <c r="D30" s="254">
        <f>SUM(D31:D32)</f>
        <v>4082</v>
      </c>
      <c r="E30" s="254">
        <f>SUM(E31:E32)</f>
        <v>2106</v>
      </c>
    </row>
    <row r="31" spans="1:5" ht="15.75">
      <c r="A31" s="256"/>
      <c r="B31" s="257" t="s">
        <v>113</v>
      </c>
      <c r="C31" s="258">
        <f>SUM(D31:E31)</f>
        <v>6188</v>
      </c>
      <c r="D31" s="258">
        <f>'BS79'!C10</f>
        <v>4082</v>
      </c>
      <c r="E31" s="258">
        <f>'BS79'!C15</f>
        <v>2106</v>
      </c>
    </row>
    <row r="32" spans="1:5" ht="15.75">
      <c r="A32" s="256"/>
      <c r="B32" s="257" t="s">
        <v>360</v>
      </c>
      <c r="C32" s="258">
        <f>SUM(D32:E32)</f>
        <v>0</v>
      </c>
      <c r="D32" s="258"/>
      <c r="E32" s="258"/>
    </row>
    <row r="33" spans="1:5" ht="15.75">
      <c r="A33" s="266" t="s">
        <v>77</v>
      </c>
      <c r="B33" s="267" t="s">
        <v>183</v>
      </c>
      <c r="C33" s="268"/>
      <c r="D33" s="268"/>
      <c r="E33" s="268"/>
    </row>
  </sheetData>
  <sheetProtection/>
  <mergeCells count="6">
    <mergeCell ref="A2:E2"/>
    <mergeCell ref="A5:A6"/>
    <mergeCell ref="B5:B6"/>
    <mergeCell ref="C5:C6"/>
    <mergeCell ref="D5:E5"/>
    <mergeCell ref="A3:E3"/>
  </mergeCells>
  <printOptions horizontalCentered="1"/>
  <pageMargins left="0.5" right="0.5" top="0.5" bottom="0"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78"/>
  <sheetViews>
    <sheetView showZeros="0" zoomScale="120" zoomScaleNormal="120" zoomScalePageLayoutView="0" workbookViewId="0" topLeftCell="A1">
      <selection activeCell="A1" sqref="A1"/>
    </sheetView>
  </sheetViews>
  <sheetFormatPr defaultColWidth="9.140625" defaultRowHeight="15"/>
  <cols>
    <col min="1" max="1" width="6.00390625" style="243" customWidth="1"/>
    <col min="2" max="2" width="44.28125" style="243" customWidth="1"/>
    <col min="3" max="4" width="13.421875" style="243" customWidth="1"/>
    <col min="5" max="5" width="12.57421875" style="243" customWidth="1"/>
    <col min="6" max="16384" width="9.140625" style="243" customWidth="1"/>
  </cols>
  <sheetData>
    <row r="1" ht="15.75">
      <c r="E1" s="347" t="s">
        <v>390</v>
      </c>
    </row>
    <row r="2" spans="1:5" ht="15.75">
      <c r="A2" s="478" t="s">
        <v>486</v>
      </c>
      <c r="B2" s="478"/>
      <c r="C2" s="478"/>
      <c r="D2" s="478"/>
      <c r="E2" s="478"/>
    </row>
    <row r="3" spans="1:5" ht="15.75">
      <c r="A3" s="478" t="s">
        <v>332</v>
      </c>
      <c r="B3" s="478"/>
      <c r="C3" s="478"/>
      <c r="D3" s="478"/>
      <c r="E3" s="478"/>
    </row>
    <row r="4" ht="15.75">
      <c r="E4" s="245" t="s">
        <v>10</v>
      </c>
    </row>
    <row r="5" spans="1:5" ht="47.25">
      <c r="A5" s="349" t="s">
        <v>0</v>
      </c>
      <c r="B5" s="349" t="s">
        <v>9</v>
      </c>
      <c r="C5" s="349" t="s">
        <v>449</v>
      </c>
      <c r="D5" s="349" t="s">
        <v>484</v>
      </c>
      <c r="E5" s="349" t="s">
        <v>50</v>
      </c>
    </row>
    <row r="6" spans="1:5" ht="15.75">
      <c r="A6" s="247" t="s">
        <v>1</v>
      </c>
      <c r="B6" s="247" t="s">
        <v>6</v>
      </c>
      <c r="C6" s="350" t="s">
        <v>51</v>
      </c>
      <c r="D6" s="350" t="s">
        <v>52</v>
      </c>
      <c r="E6" s="350" t="s">
        <v>333</v>
      </c>
    </row>
    <row r="7" spans="1:5" ht="15.75">
      <c r="A7" s="391"/>
      <c r="B7" s="392" t="s">
        <v>149</v>
      </c>
      <c r="C7" s="393">
        <f>SUM(C8,C65,C66,C69,C72,C73,C75)</f>
        <v>317879</v>
      </c>
      <c r="D7" s="393">
        <f>SUM(D8,D65,D66,D69,D72,D73,D75)</f>
        <v>337564.94334</v>
      </c>
      <c r="E7" s="394">
        <f>D7/C7*100</f>
        <v>106.1929046398158</v>
      </c>
    </row>
    <row r="8" spans="1:5" ht="15.75">
      <c r="A8" s="247">
        <v>1</v>
      </c>
      <c r="B8" s="395" t="s">
        <v>334</v>
      </c>
      <c r="C8" s="396">
        <f>SUM(C9,C63)</f>
        <v>180240</v>
      </c>
      <c r="D8" s="396">
        <f>SUM(D9,D63)</f>
        <v>190750.94334</v>
      </c>
      <c r="E8" s="397">
        <f>D8/C8*100</f>
        <v>105.83163745006658</v>
      </c>
    </row>
    <row r="9" spans="1:5" ht="15.75">
      <c r="A9" s="247" t="s">
        <v>388</v>
      </c>
      <c r="B9" s="398" t="s">
        <v>335</v>
      </c>
      <c r="C9" s="399">
        <f>SUM(C10:C62)</f>
        <v>179590</v>
      </c>
      <c r="D9" s="399">
        <f>SUM(D10:D62)</f>
        <v>190250.94334</v>
      </c>
      <c r="E9" s="400">
        <f>D9/C9*100</f>
        <v>105.93626779887522</v>
      </c>
    </row>
    <row r="10" spans="1:5" ht="15.75">
      <c r="A10" s="247"/>
      <c r="B10" s="399" t="str">
        <f>'B29'!B10</f>
        <v>Trường Mầm non Vườn Hồng</v>
      </c>
      <c r="C10" s="399">
        <f>'B29'!D10</f>
        <v>3711</v>
      </c>
      <c r="D10" s="399">
        <v>3538</v>
      </c>
      <c r="E10" s="400">
        <f>D10/C10*100</f>
        <v>95.33818377795743</v>
      </c>
    </row>
    <row r="11" spans="1:5" ht="15.75">
      <c r="A11" s="247"/>
      <c r="B11" s="399" t="str">
        <f>'B29'!B11</f>
        <v>Trường Mầm non Việt Nhi</v>
      </c>
      <c r="C11" s="399">
        <f>'B29'!D11</f>
        <v>3075</v>
      </c>
      <c r="D11" s="399">
        <v>3368</v>
      </c>
      <c r="E11" s="400">
        <f aca="true" t="shared" si="0" ref="E11:E62">D11/C11*100</f>
        <v>109.52845528455283</v>
      </c>
    </row>
    <row r="12" spans="1:5" ht="15.75">
      <c r="A12" s="247"/>
      <c r="B12" s="399" t="str">
        <f>'B29'!B12</f>
        <v>Trường Mầm non Bình Minh </v>
      </c>
      <c r="C12" s="399">
        <f>'B29'!D12</f>
        <v>2305</v>
      </c>
      <c r="D12" s="399">
        <v>2268</v>
      </c>
      <c r="E12" s="400">
        <f t="shared" si="0"/>
        <v>98.39479392624729</v>
      </c>
    </row>
    <row r="13" spans="1:5" ht="15.75">
      <c r="A13" s="247"/>
      <c r="B13" s="399" t="str">
        <f>'B29'!B13</f>
        <v>Trường Mầm non Tuổi Hoa</v>
      </c>
      <c r="C13" s="399">
        <f>'B29'!D13</f>
        <v>3236</v>
      </c>
      <c r="D13" s="399">
        <v>3356</v>
      </c>
      <c r="E13" s="400">
        <f t="shared" si="0"/>
        <v>103.70828182941905</v>
      </c>
    </row>
    <row r="14" spans="1:5" ht="15.75">
      <c r="A14" s="247"/>
      <c r="B14" s="399" t="str">
        <f>'B29'!B14</f>
        <v>Trường Mầm non Tuổi Thơ</v>
      </c>
      <c r="C14" s="399">
        <f>'B29'!D14</f>
        <v>2649</v>
      </c>
      <c r="D14" s="399">
        <v>2649</v>
      </c>
      <c r="E14" s="400">
        <f t="shared" si="0"/>
        <v>100</v>
      </c>
    </row>
    <row r="15" spans="1:5" ht="15.75">
      <c r="A15" s="247"/>
      <c r="B15" s="399" t="str">
        <f>'B29'!B15</f>
        <v>Trường Mầm non 19/5</v>
      </c>
      <c r="C15" s="399">
        <f>'B29'!D15</f>
        <v>9039</v>
      </c>
      <c r="D15" s="399">
        <v>10548</v>
      </c>
      <c r="E15" s="400">
        <f t="shared" si="0"/>
        <v>116.69432459342848</v>
      </c>
    </row>
    <row r="16" spans="1:5" ht="15.75">
      <c r="A16" s="247"/>
      <c r="B16" s="399" t="str">
        <f>'B29'!B16</f>
        <v>Trường Mầm non Tuổi Ngọc</v>
      </c>
      <c r="C16" s="399">
        <f>'B29'!D16</f>
        <v>3977</v>
      </c>
      <c r="D16" s="399">
        <v>4783</v>
      </c>
      <c r="E16" s="400">
        <f t="shared" si="0"/>
        <v>120.26653256223283</v>
      </c>
    </row>
    <row r="17" spans="1:5" ht="15.75">
      <c r="A17" s="247"/>
      <c r="B17" s="399" t="str">
        <f>'B29'!B17</f>
        <v>Trường Mầm non Thỏ Ngọc</v>
      </c>
      <c r="C17" s="399">
        <f>'B29'!D17</f>
        <v>3227</v>
      </c>
      <c r="D17" s="399">
        <v>3692</v>
      </c>
      <c r="E17" s="400">
        <f t="shared" si="0"/>
        <v>114.40966842268361</v>
      </c>
    </row>
    <row r="18" spans="1:5" ht="15.75">
      <c r="A18" s="247"/>
      <c r="B18" s="399" t="str">
        <f>'B29'!B18</f>
        <v>Trường Mầm non Vành Khuyên</v>
      </c>
      <c r="C18" s="399">
        <f>'B29'!D18</f>
        <v>2445</v>
      </c>
      <c r="D18" s="399">
        <v>2367</v>
      </c>
      <c r="E18" s="400">
        <f t="shared" si="0"/>
        <v>96.80981595092024</v>
      </c>
    </row>
    <row r="19" spans="1:5" ht="15.75">
      <c r="A19" s="247"/>
      <c r="B19" s="399" t="str">
        <f>'B29'!B19</f>
        <v>Trường Mầm non Vàng Anh</v>
      </c>
      <c r="C19" s="399">
        <f>'B29'!D19</f>
        <v>2620</v>
      </c>
      <c r="D19" s="399">
        <v>2960</v>
      </c>
      <c r="E19" s="400">
        <f t="shared" si="0"/>
        <v>112.97709923664124</v>
      </c>
    </row>
    <row r="20" spans="1:5" ht="15.75">
      <c r="A20" s="247"/>
      <c r="B20" s="399" t="str">
        <f>'B29'!B20</f>
        <v>Trường Mầm non Nắng Mai</v>
      </c>
      <c r="C20" s="399">
        <f>'B29'!D20</f>
        <v>1828</v>
      </c>
      <c r="D20" s="399">
        <v>2117</v>
      </c>
      <c r="E20" s="400">
        <f t="shared" si="0"/>
        <v>115.80962800875274</v>
      </c>
    </row>
    <row r="21" spans="1:5" ht="15.75">
      <c r="A21" s="247"/>
      <c r="B21" s="399" t="str">
        <f>'B29'!B21</f>
        <v>Trường Mầm non Sơn Ca </v>
      </c>
      <c r="C21" s="399">
        <f>'B29'!D21</f>
        <v>2119</v>
      </c>
      <c r="D21" s="399">
        <v>1823</v>
      </c>
      <c r="E21" s="400">
        <f t="shared" si="0"/>
        <v>86.03114676734309</v>
      </c>
    </row>
    <row r="22" spans="1:5" ht="15.75">
      <c r="A22" s="247"/>
      <c r="B22" s="399" t="str">
        <f>'B29'!B22</f>
        <v>Trường Mầm non Họa Mi</v>
      </c>
      <c r="C22" s="399">
        <f>'B29'!D22</f>
        <v>1307</v>
      </c>
      <c r="D22" s="399">
        <v>1507</v>
      </c>
      <c r="E22" s="400">
        <f t="shared" si="0"/>
        <v>115.30221882172916</v>
      </c>
    </row>
    <row r="23" spans="1:5" ht="15.75">
      <c r="A23" s="247"/>
      <c r="B23" s="399" t="str">
        <f>'B29'!B23</f>
        <v>Trường Mầm non Kim Đồng </v>
      </c>
      <c r="C23" s="399">
        <f>'B29'!D23</f>
        <v>2040</v>
      </c>
      <c r="D23" s="399">
        <v>2349</v>
      </c>
      <c r="E23" s="400">
        <f t="shared" si="0"/>
        <v>115.1470588235294</v>
      </c>
    </row>
    <row r="24" spans="1:5" ht="15.75">
      <c r="A24" s="247"/>
      <c r="B24" s="399" t="str">
        <f>'B29'!B24</f>
        <v>Trường Mầm non Bông Hồng</v>
      </c>
      <c r="C24" s="399">
        <f>'B29'!D24</f>
        <v>1246</v>
      </c>
      <c r="D24" s="399">
        <v>1496</v>
      </c>
      <c r="E24" s="400">
        <f t="shared" si="0"/>
        <v>120.06420545746388</v>
      </c>
    </row>
    <row r="25" spans="1:5" ht="15.75">
      <c r="A25" s="247"/>
      <c r="B25" s="399" t="str">
        <f>'B29'!B25</f>
        <v>Trường Mầm non Bé Ngoan</v>
      </c>
      <c r="C25" s="399">
        <f>'B29'!D25</f>
        <v>1960</v>
      </c>
      <c r="D25" s="399">
        <v>2233</v>
      </c>
      <c r="E25" s="400">
        <f t="shared" si="0"/>
        <v>113.92857142857142</v>
      </c>
    </row>
    <row r="26" spans="1:5" ht="15.75">
      <c r="A26" s="247"/>
      <c r="B26" s="399" t="str">
        <f>'B29'!B26</f>
        <v>Trường Mầm non Hoa Phượng</v>
      </c>
      <c r="C26" s="399">
        <f>'B29'!D26</f>
        <v>2199</v>
      </c>
      <c r="D26" s="399">
        <v>2432</v>
      </c>
      <c r="E26" s="400">
        <f t="shared" si="0"/>
        <v>110.59572532969533</v>
      </c>
    </row>
    <row r="27" spans="1:5" ht="15.75">
      <c r="A27" s="247"/>
      <c r="B27" s="399" t="str">
        <f>'B29'!B27</f>
        <v>Trường Mầm non Bông Sen</v>
      </c>
      <c r="C27" s="399">
        <f>'B29'!D27</f>
        <v>3035</v>
      </c>
      <c r="D27" s="399">
        <v>3556</v>
      </c>
      <c r="E27" s="400">
        <f t="shared" si="0"/>
        <v>117.16639209225701</v>
      </c>
    </row>
    <row r="28" spans="1:5" ht="15.75">
      <c r="A28" s="247"/>
      <c r="B28" s="399" t="str">
        <f>'B29'!B28</f>
        <v>Trường Tiểu học Nguyễn Trực</v>
      </c>
      <c r="C28" s="399">
        <f>'B29'!D28</f>
        <v>1675</v>
      </c>
      <c r="D28" s="399">
        <v>1330.7107600000002</v>
      </c>
      <c r="E28" s="400">
        <f t="shared" si="0"/>
        <v>79.44541850746269</v>
      </c>
    </row>
    <row r="29" spans="1:5" ht="15.75">
      <c r="A29" s="247"/>
      <c r="B29" s="399" t="str">
        <f>'B29'!B29</f>
        <v>Trường Tiểu học Rạch Ông</v>
      </c>
      <c r="C29" s="399">
        <f>'B29'!D29</f>
        <v>2434</v>
      </c>
      <c r="D29" s="399">
        <v>2547.328</v>
      </c>
      <c r="E29" s="400">
        <f t="shared" si="0"/>
        <v>104.65603944124896</v>
      </c>
    </row>
    <row r="30" spans="1:5" ht="15.75">
      <c r="A30" s="247"/>
      <c r="B30" s="399" t="str">
        <f>'B29'!B30</f>
        <v>Trường Tiểu học Âu Dương Lân</v>
      </c>
      <c r="C30" s="399">
        <f>'B29'!D30</f>
        <v>5875</v>
      </c>
      <c r="D30" s="399">
        <v>6329.275000000001</v>
      </c>
      <c r="E30" s="400">
        <f t="shared" si="0"/>
        <v>107.73234042553193</v>
      </c>
    </row>
    <row r="31" spans="1:5" ht="15.75">
      <c r="A31" s="247"/>
      <c r="B31" s="399" t="str">
        <f>'B29'!B31</f>
        <v>Trường Tiểu học Vàm Cỏ Đông</v>
      </c>
      <c r="C31" s="399">
        <f>'B29'!D31</f>
        <v>2962</v>
      </c>
      <c r="D31" s="399">
        <v>3322.467</v>
      </c>
      <c r="E31" s="400">
        <f t="shared" si="0"/>
        <v>112.16971640783255</v>
      </c>
    </row>
    <row r="32" spans="1:5" ht="15.75">
      <c r="A32" s="247"/>
      <c r="B32" s="399" t="str">
        <f>'B29'!B32</f>
        <v>Trường Tiểu học Thái Hưng</v>
      </c>
      <c r="C32" s="399">
        <f>'B29'!D32</f>
        <v>3056</v>
      </c>
      <c r="D32" s="399">
        <v>0</v>
      </c>
      <c r="E32" s="400">
        <f t="shared" si="0"/>
        <v>0</v>
      </c>
    </row>
    <row r="33" spans="1:5" ht="15.75">
      <c r="A33" s="247"/>
      <c r="B33" s="399" t="str">
        <f>'B29'!B33</f>
        <v>Trường Tiểu học Hoàng Minh Đạo</v>
      </c>
      <c r="C33" s="399">
        <f>'B29'!D33</f>
        <v>3760</v>
      </c>
      <c r="D33" s="399">
        <v>4606.055</v>
      </c>
      <c r="E33" s="400">
        <f t="shared" si="0"/>
        <v>122.50146276595746</v>
      </c>
    </row>
    <row r="34" spans="1:5" ht="15.75">
      <c r="A34" s="247"/>
      <c r="B34" s="399" t="str">
        <f>'B29'!B34</f>
        <v>Trường Tiểu học Bông Sao</v>
      </c>
      <c r="C34" s="399">
        <f>'B29'!D34</f>
        <v>8569</v>
      </c>
      <c r="D34" s="399">
        <v>8491.92192</v>
      </c>
      <c r="E34" s="400">
        <f t="shared" si="0"/>
        <v>99.100500875248</v>
      </c>
    </row>
    <row r="35" spans="1:5" ht="15.75">
      <c r="A35" s="247"/>
      <c r="B35" s="399" t="str">
        <f>'B29'!B35</f>
        <v>Trường Tiểu học Phan Đăng Lưu </v>
      </c>
      <c r="C35" s="399">
        <f>'B29'!D35</f>
        <v>3058</v>
      </c>
      <c r="D35" s="399">
        <v>2989.82</v>
      </c>
      <c r="E35" s="400">
        <f t="shared" si="0"/>
        <v>97.77043819489863</v>
      </c>
    </row>
    <row r="36" spans="1:5" ht="15.75">
      <c r="A36" s="247"/>
      <c r="B36" s="399" t="str">
        <f>'B29'!B36</f>
        <v>Trường Tiểu học Bùi Minh Trực</v>
      </c>
      <c r="C36" s="399">
        <f>'B29'!D36</f>
        <v>2717</v>
      </c>
      <c r="D36" s="399">
        <v>4120.382</v>
      </c>
      <c r="E36" s="400">
        <f t="shared" si="0"/>
        <v>151.65189547294807</v>
      </c>
    </row>
    <row r="37" spans="1:5" ht="15.75">
      <c r="A37" s="247"/>
      <c r="B37" s="399" t="str">
        <f>'B29'!B37</f>
        <v>Trường Tiểu học Nguyễn Trung Ngạn</v>
      </c>
      <c r="C37" s="399">
        <f>'B29'!D37</f>
        <v>7127</v>
      </c>
      <c r="D37" s="399">
        <v>7311.140200000001</v>
      </c>
      <c r="E37" s="400">
        <f t="shared" si="0"/>
        <v>102.58369861091626</v>
      </c>
    </row>
    <row r="38" spans="1:5" ht="15.75">
      <c r="A38" s="247"/>
      <c r="B38" s="399" t="str">
        <f>'B29'!B38</f>
        <v>Trường Tiểu học An Phong</v>
      </c>
      <c r="C38" s="399">
        <f>'B29'!D38</f>
        <v>4941</v>
      </c>
      <c r="D38" s="399">
        <v>4819.638</v>
      </c>
      <c r="E38" s="400">
        <f t="shared" si="0"/>
        <v>97.54377656344869</v>
      </c>
    </row>
    <row r="39" spans="1:5" ht="15.75">
      <c r="A39" s="247"/>
      <c r="B39" s="399" t="str">
        <f>'B29'!B39</f>
        <v>Trường Tiểu học Trần Danh Lâm</v>
      </c>
      <c r="C39" s="399">
        <f>'B29'!D39</f>
        <v>3193</v>
      </c>
      <c r="D39" s="399">
        <v>3525.596</v>
      </c>
      <c r="E39" s="400">
        <f t="shared" si="0"/>
        <v>110.41641089884122</v>
      </c>
    </row>
    <row r="40" spans="1:5" ht="15.75">
      <c r="A40" s="247"/>
      <c r="B40" s="399" t="str">
        <f>'B29'!B40</f>
        <v>Trường Tiểu học Lý Nhân Tông</v>
      </c>
      <c r="C40" s="399">
        <f>'B29'!D40</f>
        <v>2307</v>
      </c>
      <c r="D40" s="399">
        <v>2252.89</v>
      </c>
      <c r="E40" s="400">
        <f t="shared" si="0"/>
        <v>97.654529692241</v>
      </c>
    </row>
    <row r="41" spans="1:5" ht="15.75">
      <c r="A41" s="247"/>
      <c r="B41" s="399" t="str">
        <f>'B29'!B41</f>
        <v>Trường Tiểu học Hưng Phú</v>
      </c>
      <c r="C41" s="399">
        <f>'B29'!D41</f>
        <v>1960</v>
      </c>
      <c r="D41" s="399">
        <v>2615.991</v>
      </c>
      <c r="E41" s="400">
        <f t="shared" si="0"/>
        <v>133.4689285714286</v>
      </c>
    </row>
    <row r="42" spans="1:5" ht="15.75">
      <c r="A42" s="247"/>
      <c r="B42" s="399" t="str">
        <f>'B29'!B42</f>
        <v>Trường Tiểu học Lý Thái Tổ</v>
      </c>
      <c r="C42" s="399">
        <f>'B29'!D42</f>
        <v>944</v>
      </c>
      <c r="D42" s="399">
        <v>1189.2749999999999</v>
      </c>
      <c r="E42" s="400">
        <f t="shared" si="0"/>
        <v>125.98252118644066</v>
      </c>
    </row>
    <row r="43" spans="1:5" ht="15.75">
      <c r="A43" s="247"/>
      <c r="B43" s="399" t="str">
        <f>'B29'!B43</f>
        <v>Trường Tiểu học Tuy Lý Vương</v>
      </c>
      <c r="C43" s="399">
        <f>'B29'!D43</f>
        <v>4403</v>
      </c>
      <c r="D43" s="399">
        <v>4414.63</v>
      </c>
      <c r="E43" s="400">
        <f t="shared" si="0"/>
        <v>100.2641380876675</v>
      </c>
    </row>
    <row r="44" spans="1:5" ht="15.75">
      <c r="A44" s="247"/>
      <c r="B44" s="399" t="str">
        <f>'B29'!B44</f>
        <v>Trường Tiểu học Trần Nguyên Hãn</v>
      </c>
      <c r="C44" s="399">
        <f>'B29'!D44</f>
        <v>6040</v>
      </c>
      <c r="D44" s="399">
        <v>6116.297828</v>
      </c>
      <c r="E44" s="400">
        <f t="shared" si="0"/>
        <v>101.26320907284767</v>
      </c>
    </row>
    <row r="45" spans="1:5" ht="15.75">
      <c r="A45" s="247"/>
      <c r="B45" s="399" t="str">
        <f>'B29'!B45</f>
        <v>Trường Tiểu học Hồng Đức</v>
      </c>
      <c r="C45" s="399">
        <f>'B29'!D45</f>
        <v>665</v>
      </c>
      <c r="D45" s="399">
        <v>779.1460000000001</v>
      </c>
      <c r="E45" s="400">
        <f t="shared" si="0"/>
        <v>117.16481203007521</v>
      </c>
    </row>
    <row r="46" spans="1:5" ht="15.75">
      <c r="A46" s="247"/>
      <c r="B46" s="399" t="str">
        <f>'B29'!B46</f>
        <v>Trường Tiểu học Nguyễn Nhược Thị</v>
      </c>
      <c r="C46" s="399">
        <f>'B29'!D46</f>
        <v>3256</v>
      </c>
      <c r="D46" s="399">
        <v>3096.4968320000003</v>
      </c>
      <c r="E46" s="400">
        <f t="shared" si="0"/>
        <v>95.10125405405407</v>
      </c>
    </row>
    <row r="47" spans="1:5" ht="15.75">
      <c r="A47" s="247"/>
      <c r="B47" s="399" t="str">
        <f>'B29'!B47</f>
        <v>Trường Tiểu học Lưu Hữu Phước</v>
      </c>
      <c r="C47" s="399">
        <f>'B29'!D47</f>
        <v>2341</v>
      </c>
      <c r="D47" s="399">
        <v>2708.5240000000003</v>
      </c>
      <c r="E47" s="400">
        <f t="shared" si="0"/>
        <v>115.69944468175994</v>
      </c>
    </row>
    <row r="48" spans="1:5" ht="15.75">
      <c r="A48" s="247"/>
      <c r="B48" s="399" t="str">
        <f>'B29'!B48</f>
        <v>Trường Tiểu học Nguyễn Công Trứ</v>
      </c>
      <c r="C48" s="399">
        <f>'B29'!D48</f>
        <v>6379</v>
      </c>
      <c r="D48" s="399">
        <v>6302.1474</v>
      </c>
      <c r="E48" s="400">
        <f t="shared" si="0"/>
        <v>98.7952249568898</v>
      </c>
    </row>
    <row r="49" spans="1:5" ht="15.75">
      <c r="A49" s="247"/>
      <c r="B49" s="399" t="str">
        <f>'B29'!B49</f>
        <v>Trường Hy Vọng</v>
      </c>
      <c r="C49" s="399">
        <f>'B29'!D49</f>
        <v>92</v>
      </c>
      <c r="D49" s="399">
        <v>84.21140000000001</v>
      </c>
      <c r="E49" s="400">
        <f t="shared" si="0"/>
        <v>91.53413043478263</v>
      </c>
    </row>
    <row r="50" spans="1:5" ht="15.75">
      <c r="A50" s="247"/>
      <c r="B50" s="399" t="str">
        <f>'B29'!B50</f>
        <v>Trường THCS Dương Bá Trạc</v>
      </c>
      <c r="C50" s="399">
        <f>'B29'!D50</f>
        <v>2734</v>
      </c>
      <c r="D50" s="399">
        <v>2454</v>
      </c>
      <c r="E50" s="400">
        <f t="shared" si="0"/>
        <v>89.75859546452085</v>
      </c>
    </row>
    <row r="51" spans="1:5" ht="15.75">
      <c r="A51" s="247"/>
      <c r="B51" s="399" t="str">
        <f>'B29'!B51</f>
        <v>Trường THCS Khánh Bình</v>
      </c>
      <c r="C51" s="399">
        <f>'B29'!D51</f>
        <v>1648</v>
      </c>
      <c r="D51" s="399">
        <v>1695</v>
      </c>
      <c r="E51" s="400">
        <f t="shared" si="0"/>
        <v>102.85194174757282</v>
      </c>
    </row>
    <row r="52" spans="1:5" ht="15.75">
      <c r="A52" s="247"/>
      <c r="B52" s="399" t="str">
        <f>'B29'!B52</f>
        <v>Trường THCS Chánh Hưng</v>
      </c>
      <c r="C52" s="399">
        <f>'B29'!D52</f>
        <v>7516</v>
      </c>
      <c r="D52" s="399">
        <v>7402</v>
      </c>
      <c r="E52" s="400">
        <f t="shared" si="0"/>
        <v>98.4832357637041</v>
      </c>
    </row>
    <row r="53" spans="1:5" ht="15.75">
      <c r="A53" s="247"/>
      <c r="B53" s="399" t="str">
        <f>'B29'!B53</f>
        <v>Trường THCS Sương Nguyệt Anh</v>
      </c>
      <c r="C53" s="399">
        <f>'B29'!D53</f>
        <v>2833</v>
      </c>
      <c r="D53" s="399">
        <v>3193</v>
      </c>
      <c r="E53" s="400">
        <f t="shared" si="0"/>
        <v>112.70737733851041</v>
      </c>
    </row>
    <row r="54" spans="1:5" ht="15.75">
      <c r="A54" s="247"/>
      <c r="B54" s="399" t="str">
        <f>'B29'!B54</f>
        <v>Trường THCS Phan Đăng Lưu </v>
      </c>
      <c r="C54" s="399">
        <f>'B29'!D54</f>
        <v>1750</v>
      </c>
      <c r="D54" s="399">
        <v>1802</v>
      </c>
      <c r="E54" s="400">
        <f t="shared" si="0"/>
        <v>102.97142857142858</v>
      </c>
    </row>
    <row r="55" spans="1:5" ht="15.75">
      <c r="A55" s="247"/>
      <c r="B55" s="399" t="str">
        <f>'B29'!B55</f>
        <v>Trường THCS Tùng Thiện Vương</v>
      </c>
      <c r="C55" s="399">
        <f>'B29'!D55</f>
        <v>4649</v>
      </c>
      <c r="D55" s="399">
        <v>5003</v>
      </c>
      <c r="E55" s="400">
        <f t="shared" si="0"/>
        <v>107.61454076145407</v>
      </c>
    </row>
    <row r="56" spans="1:5" ht="15.75">
      <c r="A56" s="247"/>
      <c r="B56" s="399" t="str">
        <f>'B29'!B56</f>
        <v>Trường THCS Lê Lai</v>
      </c>
      <c r="C56" s="399">
        <f>'B29'!D56</f>
        <v>2704</v>
      </c>
      <c r="D56" s="399">
        <v>3081</v>
      </c>
      <c r="E56" s="400">
        <f t="shared" si="0"/>
        <v>113.9423076923077</v>
      </c>
    </row>
    <row r="57" spans="1:5" ht="15.75">
      <c r="A57" s="247"/>
      <c r="B57" s="399" t="str">
        <f>'B29'!B57</f>
        <v>Trường THCS Trần Danh Ninh</v>
      </c>
      <c r="C57" s="399">
        <f>'B29'!D57</f>
        <v>1474</v>
      </c>
      <c r="D57" s="399">
        <v>1543</v>
      </c>
      <c r="E57" s="400">
        <f t="shared" si="0"/>
        <v>104.68113975576662</v>
      </c>
    </row>
    <row r="58" spans="1:5" ht="15.75">
      <c r="A58" s="247"/>
      <c r="B58" s="399" t="str">
        <f>'B29'!B58</f>
        <v>Trường THCS Bình An</v>
      </c>
      <c r="C58" s="399">
        <f>'B29'!D58</f>
        <v>3621</v>
      </c>
      <c r="D58" s="399">
        <v>4565</v>
      </c>
      <c r="E58" s="400">
        <f t="shared" si="0"/>
        <v>126.07014636840653</v>
      </c>
    </row>
    <row r="59" spans="1:5" ht="15.75">
      <c r="A59" s="247"/>
      <c r="B59" s="399" t="str">
        <f>'B29'!B59</f>
        <v>Trường THCS Bình Đông</v>
      </c>
      <c r="C59" s="399">
        <f>'B29'!D59</f>
        <v>3852</v>
      </c>
      <c r="D59" s="399">
        <v>3189</v>
      </c>
      <c r="E59" s="400">
        <f t="shared" si="0"/>
        <v>82.78816199376948</v>
      </c>
    </row>
    <row r="60" spans="1:5" ht="15.75">
      <c r="A60" s="247"/>
      <c r="B60" s="399" t="str">
        <f>'B29'!B60</f>
        <v>Trường THCS Lý Thánh Tông</v>
      </c>
      <c r="C60" s="399">
        <f>'B29'!D60</f>
        <v>13588</v>
      </c>
      <c r="D60" s="399">
        <v>16923</v>
      </c>
      <c r="E60" s="400">
        <f t="shared" si="0"/>
        <v>124.54371504268474</v>
      </c>
    </row>
    <row r="61" spans="1:5" ht="15.75">
      <c r="A61" s="247"/>
      <c r="B61" s="399" t="str">
        <f>'B29'!B61</f>
        <v>Trường THCS Phú Lợi</v>
      </c>
      <c r="C61" s="399">
        <f>'B29'!D61</f>
        <v>2331</v>
      </c>
      <c r="D61" s="399">
        <v>2277</v>
      </c>
      <c r="E61" s="400">
        <f t="shared" si="0"/>
        <v>97.68339768339769</v>
      </c>
    </row>
    <row r="62" spans="1:5" ht="15.75">
      <c r="A62" s="247"/>
      <c r="B62" s="399" t="str">
        <f>'B29'!B62</f>
        <v>TT GD nghề nghiệp - GD thường xuyên</v>
      </c>
      <c r="C62" s="399">
        <f>'B29'!D62</f>
        <v>1118</v>
      </c>
      <c r="D62" s="399">
        <v>1128</v>
      </c>
      <c r="E62" s="400">
        <f t="shared" si="0"/>
        <v>100.89445438282647</v>
      </c>
    </row>
    <row r="63" spans="1:5" ht="15.75">
      <c r="A63" s="247" t="s">
        <v>389</v>
      </c>
      <c r="B63" s="398" t="s">
        <v>336</v>
      </c>
      <c r="C63" s="399">
        <f>SUM(C64)</f>
        <v>650</v>
      </c>
      <c r="D63" s="399">
        <f>SUM(D64)</f>
        <v>500</v>
      </c>
      <c r="E63" s="400">
        <f>D63/C63*100</f>
        <v>76.92307692307693</v>
      </c>
    </row>
    <row r="64" spans="1:5" ht="15.75">
      <c r="A64" s="247"/>
      <c r="B64" s="398" t="s">
        <v>398</v>
      </c>
      <c r="C64" s="399">
        <f>'B29'!D64</f>
        <v>650</v>
      </c>
      <c r="D64" s="399">
        <v>500</v>
      </c>
      <c r="E64" s="400">
        <f>D64/C64*100</f>
        <v>76.92307692307693</v>
      </c>
    </row>
    <row r="65" spans="1:5" ht="15.75">
      <c r="A65" s="247">
        <v>2</v>
      </c>
      <c r="B65" s="395" t="s">
        <v>337</v>
      </c>
      <c r="C65" s="396"/>
      <c r="D65" s="396"/>
      <c r="E65" s="397"/>
    </row>
    <row r="66" spans="1:5" ht="15.75">
      <c r="A66" s="247">
        <v>3</v>
      </c>
      <c r="B66" s="395" t="s">
        <v>338</v>
      </c>
      <c r="C66" s="396">
        <f>SUM(C67:C68)</f>
        <v>119155</v>
      </c>
      <c r="D66" s="396">
        <f>SUM(D67:D68)</f>
        <v>120247</v>
      </c>
      <c r="E66" s="397">
        <f aca="true" t="shared" si="1" ref="E66:E71">D66/C66*100</f>
        <v>100.91645335907012</v>
      </c>
    </row>
    <row r="67" spans="1:5" ht="15.75">
      <c r="A67" s="247"/>
      <c r="B67" s="398" t="s">
        <v>223</v>
      </c>
      <c r="C67" s="399">
        <f>'B29'!D67</f>
        <v>110135</v>
      </c>
      <c r="D67" s="399">
        <v>110500</v>
      </c>
      <c r="E67" s="400">
        <f t="shared" si="1"/>
        <v>100.33141144958459</v>
      </c>
    </row>
    <row r="68" spans="1:5" ht="15.75">
      <c r="A68" s="247"/>
      <c r="B68" s="398" t="s">
        <v>265</v>
      </c>
      <c r="C68" s="399">
        <f>'B29'!D68</f>
        <v>9020</v>
      </c>
      <c r="D68" s="399">
        <v>9747</v>
      </c>
      <c r="E68" s="400">
        <f t="shared" si="1"/>
        <v>108.05986696230599</v>
      </c>
    </row>
    <row r="69" spans="1:5" ht="15.75">
      <c r="A69" s="247">
        <v>4</v>
      </c>
      <c r="B69" s="395" t="s">
        <v>339</v>
      </c>
      <c r="C69" s="396">
        <f>SUM(C70:C71)</f>
        <v>3654</v>
      </c>
      <c r="D69" s="396">
        <f>SUM(D70:D71)</f>
        <v>4180</v>
      </c>
      <c r="E69" s="397">
        <f t="shared" si="1"/>
        <v>114.3951833607006</v>
      </c>
    </row>
    <row r="70" spans="1:5" ht="15.75">
      <c r="A70" s="247"/>
      <c r="B70" s="398" t="s">
        <v>224</v>
      </c>
      <c r="C70" s="399">
        <f>'B29'!D70</f>
        <v>1243</v>
      </c>
      <c r="D70" s="399">
        <v>1787</v>
      </c>
      <c r="E70" s="400">
        <f t="shared" si="1"/>
        <v>143.7650844730491</v>
      </c>
    </row>
    <row r="71" spans="1:5" ht="15.75">
      <c r="A71" s="247"/>
      <c r="B71" s="398" t="s">
        <v>225</v>
      </c>
      <c r="C71" s="399">
        <f>'B29'!D71</f>
        <v>2411</v>
      </c>
      <c r="D71" s="399">
        <v>2393</v>
      </c>
      <c r="E71" s="400">
        <f t="shared" si="1"/>
        <v>99.25342181667358</v>
      </c>
    </row>
    <row r="72" spans="1:5" ht="15.75">
      <c r="A72" s="247">
        <v>5</v>
      </c>
      <c r="B72" s="395" t="s">
        <v>340</v>
      </c>
      <c r="C72" s="396"/>
      <c r="D72" s="396"/>
      <c r="E72" s="397"/>
    </row>
    <row r="73" spans="1:5" ht="15.75">
      <c r="A73" s="247">
        <v>6</v>
      </c>
      <c r="B73" s="395" t="s">
        <v>341</v>
      </c>
      <c r="C73" s="396">
        <f>SUM(C74)</f>
        <v>5561</v>
      </c>
      <c r="D73" s="396">
        <f>SUM(D74)</f>
        <v>5359</v>
      </c>
      <c r="E73" s="397">
        <f aca="true" t="shared" si="2" ref="E73:E78">D73/C73*100</f>
        <v>96.36755979140442</v>
      </c>
    </row>
    <row r="74" spans="1:5" ht="15.75">
      <c r="A74" s="247"/>
      <c r="B74" s="398" t="s">
        <v>494</v>
      </c>
      <c r="C74" s="399">
        <f>'B29'!D74</f>
        <v>5561</v>
      </c>
      <c r="D74" s="399">
        <v>5359</v>
      </c>
      <c r="E74" s="400">
        <f t="shared" si="2"/>
        <v>96.36755979140442</v>
      </c>
    </row>
    <row r="75" spans="1:5" ht="15.75">
      <c r="A75" s="247">
        <v>7</v>
      </c>
      <c r="B75" s="395" t="s">
        <v>342</v>
      </c>
      <c r="C75" s="396">
        <f>SUM(C76:C78)</f>
        <v>9269</v>
      </c>
      <c r="D75" s="396">
        <f>SUM(D76:D78)</f>
        <v>17028</v>
      </c>
      <c r="E75" s="397">
        <f t="shared" si="2"/>
        <v>183.70913798683785</v>
      </c>
    </row>
    <row r="76" spans="1:5" ht="15.75">
      <c r="A76" s="247"/>
      <c r="B76" s="398" t="s">
        <v>399</v>
      </c>
      <c r="C76" s="399">
        <f>'B29'!D76</f>
        <v>1763</v>
      </c>
      <c r="D76" s="399">
        <v>5800</v>
      </c>
      <c r="E76" s="400">
        <f t="shared" si="2"/>
        <v>328.98468519568917</v>
      </c>
    </row>
    <row r="77" spans="1:5" ht="15.75">
      <c r="A77" s="247"/>
      <c r="B77" s="398" t="s">
        <v>495</v>
      </c>
      <c r="C77" s="399">
        <f>'B29'!D77</f>
        <v>6215</v>
      </c>
      <c r="D77" s="399">
        <v>9921</v>
      </c>
      <c r="E77" s="400">
        <f t="shared" si="2"/>
        <v>159.62992759452936</v>
      </c>
    </row>
    <row r="78" spans="1:5" ht="15.75">
      <c r="A78" s="247"/>
      <c r="B78" s="398" t="s">
        <v>403</v>
      </c>
      <c r="C78" s="399">
        <f>'B29'!D78</f>
        <v>1291</v>
      </c>
      <c r="D78" s="399">
        <v>1307</v>
      </c>
      <c r="E78" s="400">
        <f t="shared" si="2"/>
        <v>101.23934934159567</v>
      </c>
    </row>
  </sheetData>
  <sheetProtection/>
  <mergeCells count="2">
    <mergeCell ref="A2:E2"/>
    <mergeCell ref="A3:E3"/>
  </mergeCells>
  <printOptions horizontalCentered="1"/>
  <pageMargins left="0.6" right="0.6" top="0.7" bottom="0.7"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IV16384"/>
    </sheetView>
  </sheetViews>
  <sheetFormatPr defaultColWidth="9.140625" defaultRowHeight="15"/>
  <cols>
    <col min="1" max="1" width="6.57421875" style="207" customWidth="1"/>
    <col min="2" max="2" width="17.7109375" style="207" customWidth="1"/>
    <col min="3" max="11" width="12.140625" style="207" customWidth="1"/>
    <col min="12" max="16384" width="9.140625" style="207" customWidth="1"/>
  </cols>
  <sheetData>
    <row r="1" ht="15.75">
      <c r="K1" s="188" t="s">
        <v>514</v>
      </c>
    </row>
    <row r="2" spans="1:11" ht="39.75" customHeight="1">
      <c r="A2" s="441" t="s">
        <v>515</v>
      </c>
      <c r="B2" s="441"/>
      <c r="C2" s="441"/>
      <c r="D2" s="441"/>
      <c r="E2" s="441"/>
      <c r="F2" s="441"/>
      <c r="G2" s="441"/>
      <c r="H2" s="441"/>
      <c r="I2" s="441"/>
      <c r="J2" s="441"/>
      <c r="K2" s="441"/>
    </row>
    <row r="3" ht="15.75">
      <c r="K3" s="161" t="s">
        <v>10</v>
      </c>
    </row>
    <row r="4" spans="1:11" ht="15.75">
      <c r="A4" s="443" t="s">
        <v>0</v>
      </c>
      <c r="B4" s="443" t="s">
        <v>173</v>
      </c>
      <c r="C4" s="443" t="s">
        <v>140</v>
      </c>
      <c r="D4" s="443" t="s">
        <v>367</v>
      </c>
      <c r="E4" s="443" t="s">
        <v>361</v>
      </c>
      <c r="F4" s="443"/>
      <c r="G4" s="443"/>
      <c r="H4" s="443" t="s">
        <v>362</v>
      </c>
      <c r="I4" s="443" t="s">
        <v>363</v>
      </c>
      <c r="J4" s="443" t="s">
        <v>22</v>
      </c>
      <c r="K4" s="443" t="s">
        <v>370</v>
      </c>
    </row>
    <row r="5" spans="1:11" ht="15.75">
      <c r="A5" s="443"/>
      <c r="B5" s="443"/>
      <c r="C5" s="443"/>
      <c r="D5" s="443"/>
      <c r="E5" s="443" t="s">
        <v>368</v>
      </c>
      <c r="F5" s="443" t="s">
        <v>364</v>
      </c>
      <c r="G5" s="443"/>
      <c r="H5" s="443"/>
      <c r="I5" s="443"/>
      <c r="J5" s="443"/>
      <c r="K5" s="443"/>
    </row>
    <row r="6" spans="1:11" ht="84.75" customHeight="1">
      <c r="A6" s="443"/>
      <c r="B6" s="443"/>
      <c r="C6" s="443"/>
      <c r="D6" s="443"/>
      <c r="E6" s="443"/>
      <c r="F6" s="422" t="s">
        <v>130</v>
      </c>
      <c r="G6" s="422" t="s">
        <v>369</v>
      </c>
      <c r="H6" s="443"/>
      <c r="I6" s="443"/>
      <c r="J6" s="443"/>
      <c r="K6" s="443"/>
    </row>
    <row r="7" spans="1:11" ht="15.75">
      <c r="A7" s="422" t="s">
        <v>1</v>
      </c>
      <c r="B7" s="422" t="s">
        <v>6</v>
      </c>
      <c r="C7" s="422">
        <v>1</v>
      </c>
      <c r="D7" s="422" t="s">
        <v>365</v>
      </c>
      <c r="E7" s="422">
        <v>3</v>
      </c>
      <c r="F7" s="422">
        <v>4</v>
      </c>
      <c r="G7" s="422">
        <v>5</v>
      </c>
      <c r="H7" s="422">
        <v>6</v>
      </c>
      <c r="I7" s="422">
        <v>7</v>
      </c>
      <c r="J7" s="422">
        <v>8</v>
      </c>
      <c r="K7" s="422" t="s">
        <v>366</v>
      </c>
    </row>
    <row r="8" spans="1:11" ht="15.75">
      <c r="A8" s="204"/>
      <c r="B8" s="162" t="s">
        <v>149</v>
      </c>
      <c r="C8" s="214">
        <f>SUM(C9:C24)</f>
        <v>18248</v>
      </c>
      <c r="D8" s="214">
        <f>SUM(D9:D24)</f>
        <v>18248</v>
      </c>
      <c r="E8" s="214">
        <f aca="true" t="shared" si="0" ref="E8:J8">SUM(E9:E24)</f>
        <v>18248</v>
      </c>
      <c r="F8" s="214">
        <f t="shared" si="0"/>
        <v>0</v>
      </c>
      <c r="G8" s="214">
        <f t="shared" si="0"/>
        <v>0</v>
      </c>
      <c r="H8" s="214">
        <f t="shared" si="0"/>
        <v>143623.175</v>
      </c>
      <c r="I8" s="214">
        <f t="shared" si="0"/>
        <v>40095.951</v>
      </c>
      <c r="J8" s="214">
        <f t="shared" si="0"/>
        <v>3732</v>
      </c>
      <c r="K8" s="214">
        <f>SUM(K9:K24)</f>
        <v>205699.12600000005</v>
      </c>
    </row>
    <row r="9" spans="1:11" ht="15.75">
      <c r="A9" s="205">
        <v>1</v>
      </c>
      <c r="B9" s="208" t="s">
        <v>150</v>
      </c>
      <c r="C9" s="215">
        <f>'[5]B32'!C9</f>
        <v>1186</v>
      </c>
      <c r="D9" s="215">
        <f>SUM(E9,G9)</f>
        <v>1186</v>
      </c>
      <c r="E9" s="386">
        <f>'[5]B32'!G9+'[5]B32'!H9+'[5]B32'!I9+'[5]B32'!J9</f>
        <v>1186</v>
      </c>
      <c r="F9" s="215"/>
      <c r="G9" s="215"/>
      <c r="H9" s="215">
        <f>'[5]B41'!C10-D9-I9-J9</f>
        <v>8312.398</v>
      </c>
      <c r="I9" s="387">
        <f>'[6]sheet1'!O9</f>
        <v>2445.795</v>
      </c>
      <c r="J9" s="387">
        <f>'[6]sheet1'!N9</f>
        <v>165</v>
      </c>
      <c r="K9" s="215">
        <f>SUM(D9,H9,I9,J9)</f>
        <v>12109.193</v>
      </c>
    </row>
    <row r="10" spans="1:11" ht="15.75">
      <c r="A10" s="205">
        <v>2</v>
      </c>
      <c r="B10" s="208" t="s">
        <v>151</v>
      </c>
      <c r="C10" s="215">
        <f>'[5]B32'!C10</f>
        <v>1261</v>
      </c>
      <c r="D10" s="215">
        <f aca="true" t="shared" si="1" ref="D10:D24">SUM(E10,G10)</f>
        <v>1261</v>
      </c>
      <c r="E10" s="386">
        <f>'[5]B32'!G10+'[5]B32'!H10+'[5]B32'!I10+'[5]B32'!J10</f>
        <v>1261</v>
      </c>
      <c r="F10" s="215"/>
      <c r="G10" s="215"/>
      <c r="H10" s="215">
        <f>'[5]B41'!C11-D10-I10-J10</f>
        <v>9292.503</v>
      </c>
      <c r="I10" s="387">
        <f>'[6]sheet1'!O10</f>
        <v>2393.756</v>
      </c>
      <c r="J10" s="387">
        <f>'[6]sheet1'!N10</f>
        <v>320</v>
      </c>
      <c r="K10" s="215">
        <f aca="true" t="shared" si="2" ref="K10:K24">SUM(D10,H10,I10,J10)</f>
        <v>13267.259</v>
      </c>
    </row>
    <row r="11" spans="1:11" ht="15.75">
      <c r="A11" s="205">
        <v>3</v>
      </c>
      <c r="B11" s="208" t="s">
        <v>152</v>
      </c>
      <c r="C11" s="215">
        <f>'[5]B32'!C11</f>
        <v>1044</v>
      </c>
      <c r="D11" s="215">
        <f t="shared" si="1"/>
        <v>1044</v>
      </c>
      <c r="E11" s="386">
        <f>'[5]B32'!G11+'[5]B32'!H11+'[5]B32'!I11+'[5]B32'!J11</f>
        <v>1044</v>
      </c>
      <c r="F11" s="215"/>
      <c r="G11" s="215"/>
      <c r="H11" s="215">
        <f>'[5]B41'!C12-D11-I11-J11</f>
        <v>9859.953000000001</v>
      </c>
      <c r="I11" s="387">
        <f>'[6]sheet1'!O11</f>
        <v>2309.265</v>
      </c>
      <c r="J11" s="387">
        <f>'[6]sheet1'!N11</f>
        <v>293</v>
      </c>
      <c r="K11" s="215">
        <f t="shared" si="2"/>
        <v>13506.218</v>
      </c>
    </row>
    <row r="12" spans="1:11" ht="15.75">
      <c r="A12" s="205">
        <v>4</v>
      </c>
      <c r="B12" s="208" t="s">
        <v>153</v>
      </c>
      <c r="C12" s="215">
        <f>'[5]B32'!C12</f>
        <v>1841</v>
      </c>
      <c r="D12" s="215">
        <f t="shared" si="1"/>
        <v>1841</v>
      </c>
      <c r="E12" s="386">
        <f>'[5]B32'!G12+'[5]B32'!H12+'[5]B32'!I12+'[5]B32'!J12</f>
        <v>1841</v>
      </c>
      <c r="F12" s="215"/>
      <c r="G12" s="215"/>
      <c r="H12" s="215">
        <f>'[5]B41'!C13-D12-I12-J12</f>
        <v>11524.836000000001</v>
      </c>
      <c r="I12" s="387">
        <f>'[6]sheet1'!O12</f>
        <v>2390.167</v>
      </c>
      <c r="J12" s="387">
        <f>'[6]sheet1'!N12</f>
        <v>477</v>
      </c>
      <c r="K12" s="215">
        <f t="shared" si="2"/>
        <v>16233.003</v>
      </c>
    </row>
    <row r="13" spans="1:11" ht="15.75">
      <c r="A13" s="205">
        <v>5</v>
      </c>
      <c r="B13" s="208" t="s">
        <v>154</v>
      </c>
      <c r="C13" s="215">
        <f>'[5]B32'!C13</f>
        <v>1777</v>
      </c>
      <c r="D13" s="215">
        <f t="shared" si="1"/>
        <v>1777</v>
      </c>
      <c r="E13" s="386">
        <f>'[5]B32'!G13+'[5]B32'!H13+'[5]B32'!I13+'[5]B32'!J13</f>
        <v>1777</v>
      </c>
      <c r="F13" s="215"/>
      <c r="G13" s="215"/>
      <c r="H13" s="215">
        <f>'[5]B41'!C14-D13-I13-J13</f>
        <v>10911.802</v>
      </c>
      <c r="I13" s="387">
        <f>'[6]sheet1'!O13</f>
        <v>2668.464</v>
      </c>
      <c r="J13" s="387">
        <f>'[6]sheet1'!N13</f>
        <v>326</v>
      </c>
      <c r="K13" s="215">
        <f t="shared" si="2"/>
        <v>15683.266</v>
      </c>
    </row>
    <row r="14" spans="1:11" ht="15.75">
      <c r="A14" s="205">
        <v>6</v>
      </c>
      <c r="B14" s="208" t="s">
        <v>155</v>
      </c>
      <c r="C14" s="215">
        <f>'[5]B32'!C14</f>
        <v>1195</v>
      </c>
      <c r="D14" s="215">
        <f t="shared" si="1"/>
        <v>1195</v>
      </c>
      <c r="E14" s="386">
        <f>'[5]B32'!G14+'[5]B32'!H14+'[5]B32'!I14+'[5]B32'!J14</f>
        <v>1195</v>
      </c>
      <c r="F14" s="215"/>
      <c r="G14" s="215"/>
      <c r="H14" s="215">
        <f>'[5]B41'!C15-D14-I14-J14</f>
        <v>9132.409</v>
      </c>
      <c r="I14" s="387">
        <f>'[6]sheet1'!O14</f>
        <v>2191.323</v>
      </c>
      <c r="J14" s="387">
        <f>'[6]sheet1'!N14</f>
        <v>495</v>
      </c>
      <c r="K14" s="215">
        <f t="shared" si="2"/>
        <v>13013.732</v>
      </c>
    </row>
    <row r="15" spans="1:11" ht="15.75">
      <c r="A15" s="205">
        <v>7</v>
      </c>
      <c r="B15" s="208" t="s">
        <v>156</v>
      </c>
      <c r="C15" s="215">
        <f>'[5]B32'!C15</f>
        <v>3134</v>
      </c>
      <c r="D15" s="215">
        <f t="shared" si="1"/>
        <v>3134</v>
      </c>
      <c r="E15" s="386">
        <f>'[5]B32'!G15+'[5]B32'!H15+'[5]B32'!I15+'[5]B32'!J15</f>
        <v>3134</v>
      </c>
      <c r="F15" s="215"/>
      <c r="G15" s="215"/>
      <c r="H15" s="215">
        <f>'[5]B41'!C16-D15-I15-J15</f>
        <v>7447.91</v>
      </c>
      <c r="I15" s="387">
        <f>'[6]sheet1'!O15</f>
        <v>2085.553</v>
      </c>
      <c r="J15" s="387">
        <f>'[6]sheet1'!N15</f>
        <v>732</v>
      </c>
      <c r="K15" s="215">
        <f t="shared" si="2"/>
        <v>13399.463</v>
      </c>
    </row>
    <row r="16" spans="1:11" ht="15.75">
      <c r="A16" s="205">
        <v>8</v>
      </c>
      <c r="B16" s="208" t="s">
        <v>157</v>
      </c>
      <c r="C16" s="215">
        <f>'[5]B32'!C16</f>
        <v>358</v>
      </c>
      <c r="D16" s="215">
        <f t="shared" si="1"/>
        <v>358</v>
      </c>
      <c r="E16" s="386">
        <f>'[5]B32'!G16+'[5]B32'!H16+'[5]B32'!I16+'[5]B32'!J16</f>
        <v>358</v>
      </c>
      <c r="F16" s="215"/>
      <c r="G16" s="215"/>
      <c r="H16" s="215">
        <f>'[5]B41'!C17-D16-I16-J16</f>
        <v>7761.13</v>
      </c>
      <c r="I16" s="387">
        <f>'[6]sheet1'!O16</f>
        <v>2681.8869999999997</v>
      </c>
      <c r="J16" s="387">
        <f>'[6]sheet1'!N16</f>
        <v>0</v>
      </c>
      <c r="K16" s="215">
        <f t="shared" si="2"/>
        <v>10801.017</v>
      </c>
    </row>
    <row r="17" spans="1:11" ht="15.75">
      <c r="A17" s="205">
        <v>9</v>
      </c>
      <c r="B17" s="208" t="s">
        <v>158</v>
      </c>
      <c r="C17" s="215">
        <f>'[5]B32'!C17</f>
        <v>741</v>
      </c>
      <c r="D17" s="215">
        <f t="shared" si="1"/>
        <v>741</v>
      </c>
      <c r="E17" s="386">
        <f>'[5]B32'!G17+'[5]B32'!H17+'[5]B32'!I17+'[5]B32'!J17</f>
        <v>741</v>
      </c>
      <c r="F17" s="215"/>
      <c r="G17" s="215"/>
      <c r="H17" s="215">
        <f>'[5]B41'!C18-D17-I17-J17</f>
        <v>9251.413</v>
      </c>
      <c r="I17" s="387">
        <f>'[6]sheet1'!O17</f>
        <v>2824.95</v>
      </c>
      <c r="J17" s="387">
        <f>'[6]sheet1'!N17</f>
        <v>50</v>
      </c>
      <c r="K17" s="215">
        <f t="shared" si="2"/>
        <v>12867.363000000001</v>
      </c>
    </row>
    <row r="18" spans="1:11" ht="15.75">
      <c r="A18" s="205">
        <v>10</v>
      </c>
      <c r="B18" s="208" t="s">
        <v>159</v>
      </c>
      <c r="C18" s="215">
        <f>'[5]B32'!C18</f>
        <v>509</v>
      </c>
      <c r="D18" s="215">
        <f t="shared" si="1"/>
        <v>509</v>
      </c>
      <c r="E18" s="386">
        <f>'[5]B32'!G18+'[5]B32'!H18+'[5]B32'!I18+'[5]B32'!J18</f>
        <v>509</v>
      </c>
      <c r="F18" s="215"/>
      <c r="G18" s="215"/>
      <c r="H18" s="215">
        <f>'[5]B41'!C19-D18-I18-J18</f>
        <v>8762.648000000001</v>
      </c>
      <c r="I18" s="387">
        <f>'[6]sheet1'!O18</f>
        <v>2810.9700000000003</v>
      </c>
      <c r="J18" s="387">
        <f>'[6]sheet1'!N18</f>
        <v>41</v>
      </c>
      <c r="K18" s="215">
        <f t="shared" si="2"/>
        <v>12123.618000000002</v>
      </c>
    </row>
    <row r="19" spans="1:11" ht="15.75">
      <c r="A19" s="205">
        <v>11</v>
      </c>
      <c r="B19" s="208" t="s">
        <v>160</v>
      </c>
      <c r="C19" s="215">
        <f>'[5]B32'!C19</f>
        <v>476</v>
      </c>
      <c r="D19" s="215">
        <f t="shared" si="1"/>
        <v>476</v>
      </c>
      <c r="E19" s="386">
        <f>'[5]B32'!G19+'[5]B32'!H19+'[5]B32'!I19+'[5]B32'!J19</f>
        <v>476</v>
      </c>
      <c r="F19" s="215"/>
      <c r="G19" s="215"/>
      <c r="H19" s="215">
        <f>'[5]B41'!C20-D19-I19-J19</f>
        <v>7034.371000000001</v>
      </c>
      <c r="I19" s="387">
        <f>'[6]sheet1'!O19</f>
        <v>2321.908</v>
      </c>
      <c r="J19" s="387">
        <f>'[6]sheet1'!N19</f>
        <v>131</v>
      </c>
      <c r="K19" s="215">
        <f t="shared" si="2"/>
        <v>9963.279</v>
      </c>
    </row>
    <row r="20" spans="1:11" ht="15.75">
      <c r="A20" s="205">
        <v>12</v>
      </c>
      <c r="B20" s="208" t="s">
        <v>161</v>
      </c>
      <c r="C20" s="215">
        <f>'[5]B32'!C20</f>
        <v>642</v>
      </c>
      <c r="D20" s="215">
        <f t="shared" si="1"/>
        <v>642</v>
      </c>
      <c r="E20" s="386">
        <f>'[5]B32'!G20+'[5]B32'!H20+'[5]B32'!I20+'[5]B32'!J20</f>
        <v>642</v>
      </c>
      <c r="F20" s="215"/>
      <c r="G20" s="215"/>
      <c r="H20" s="215">
        <f>'[5]B41'!C21-D20-I20-J20</f>
        <v>8862.622</v>
      </c>
      <c r="I20" s="387">
        <f>'[6]sheet1'!O20</f>
        <v>2786.934</v>
      </c>
      <c r="J20" s="387">
        <f>'[6]sheet1'!N20</f>
        <v>140</v>
      </c>
      <c r="K20" s="215">
        <f t="shared" si="2"/>
        <v>12431.556</v>
      </c>
    </row>
    <row r="21" spans="1:11" ht="15.75">
      <c r="A21" s="205">
        <v>13</v>
      </c>
      <c r="B21" s="208" t="s">
        <v>162</v>
      </c>
      <c r="C21" s="215">
        <f>'[5]B32'!C21</f>
        <v>479</v>
      </c>
      <c r="D21" s="215">
        <f t="shared" si="1"/>
        <v>479</v>
      </c>
      <c r="E21" s="386">
        <f>'[5]B32'!G21+'[5]B32'!H21+'[5]B32'!I21+'[5]B32'!J21</f>
        <v>479</v>
      </c>
      <c r="F21" s="215"/>
      <c r="G21" s="215"/>
      <c r="H21" s="215">
        <f>'[5]B41'!C22-D21-I21-J21</f>
        <v>7534.043999999999</v>
      </c>
      <c r="I21" s="387">
        <f>'[6]sheet1'!O21</f>
        <v>2330.4880000000003</v>
      </c>
      <c r="J21" s="387">
        <f>'[6]sheet1'!N21</f>
        <v>45</v>
      </c>
      <c r="K21" s="215">
        <f t="shared" si="2"/>
        <v>10388.532</v>
      </c>
    </row>
    <row r="22" spans="1:11" ht="15.75">
      <c r="A22" s="205">
        <v>14</v>
      </c>
      <c r="B22" s="208" t="s">
        <v>163</v>
      </c>
      <c r="C22" s="215">
        <f>'[5]B32'!C22</f>
        <v>539</v>
      </c>
      <c r="D22" s="215">
        <f t="shared" si="1"/>
        <v>539</v>
      </c>
      <c r="E22" s="386">
        <f>'[5]B32'!G22+'[5]B32'!H22+'[5]B32'!I22+'[5]B32'!J22</f>
        <v>539</v>
      </c>
      <c r="F22" s="215"/>
      <c r="G22" s="215"/>
      <c r="H22" s="215">
        <f>'[5]B41'!C23-D22-I22-J22</f>
        <v>8855.503999999999</v>
      </c>
      <c r="I22" s="387">
        <f>'[6]sheet1'!O22</f>
        <v>2811.627</v>
      </c>
      <c r="J22" s="387">
        <f>'[6]sheet1'!N22</f>
        <v>108</v>
      </c>
      <c r="K22" s="215">
        <f t="shared" si="2"/>
        <v>12314.131</v>
      </c>
    </row>
    <row r="23" spans="1:11" ht="15.75">
      <c r="A23" s="205">
        <v>15</v>
      </c>
      <c r="B23" s="208" t="s">
        <v>164</v>
      </c>
      <c r="C23" s="215">
        <f>'[5]B32'!C23</f>
        <v>1157</v>
      </c>
      <c r="D23" s="215">
        <f t="shared" si="1"/>
        <v>1157</v>
      </c>
      <c r="E23" s="386">
        <f>'[5]B32'!G23+'[5]B32'!H23+'[5]B32'!I23+'[5]B32'!J23</f>
        <v>1157</v>
      </c>
      <c r="F23" s="215"/>
      <c r="G23" s="215"/>
      <c r="H23" s="215">
        <f>'[5]B41'!C24-D23-I23-J23</f>
        <v>10664.163999999999</v>
      </c>
      <c r="I23" s="387">
        <f>'[6]sheet1'!O23</f>
        <v>2476.707</v>
      </c>
      <c r="J23" s="387">
        <f>'[6]sheet1'!N23</f>
        <v>164</v>
      </c>
      <c r="K23" s="215">
        <f t="shared" si="2"/>
        <v>14461.871</v>
      </c>
    </row>
    <row r="24" spans="1:11" ht="15.75">
      <c r="A24" s="206">
        <v>16</v>
      </c>
      <c r="B24" s="209" t="s">
        <v>165</v>
      </c>
      <c r="C24" s="388">
        <f>'[5]B32'!C24</f>
        <v>1909</v>
      </c>
      <c r="D24" s="388">
        <f t="shared" si="1"/>
        <v>1909</v>
      </c>
      <c r="E24" s="389">
        <f>'[5]B32'!G24+'[5]B32'!H24+'[5]B32'!I24+'[5]B32'!J24</f>
        <v>1909</v>
      </c>
      <c r="F24" s="388"/>
      <c r="G24" s="388"/>
      <c r="H24" s="216">
        <f>'[5]B41'!C25-D24-I24-J24</f>
        <v>8415.468</v>
      </c>
      <c r="I24" s="390">
        <f>'[6]sheet1'!O24</f>
        <v>2566.157</v>
      </c>
      <c r="J24" s="390">
        <f>'[6]sheet1'!N24</f>
        <v>245</v>
      </c>
      <c r="K24" s="388">
        <f t="shared" si="2"/>
        <v>13135.625</v>
      </c>
    </row>
    <row r="25" ht="15.75">
      <c r="A25" s="207" t="s">
        <v>496</v>
      </c>
    </row>
    <row r="26" ht="15.75">
      <c r="A26" s="342"/>
    </row>
    <row r="27" ht="15.75">
      <c r="A27" s="342"/>
    </row>
    <row r="28" ht="15.75">
      <c r="A28" s="342"/>
    </row>
  </sheetData>
  <sheetProtection/>
  <mergeCells count="12">
    <mergeCell ref="H4:H6"/>
    <mergeCell ref="I4:I6"/>
    <mergeCell ref="J4:J6"/>
    <mergeCell ref="K4:K6"/>
    <mergeCell ref="E5:E6"/>
    <mergeCell ref="F5:G5"/>
    <mergeCell ref="A2:K2"/>
    <mergeCell ref="A4:A6"/>
    <mergeCell ref="B4:B6"/>
    <mergeCell ref="C4:C6"/>
    <mergeCell ref="D4:D6"/>
    <mergeCell ref="E4:G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C00000"/>
  </sheetPr>
  <dimension ref="A1:G47"/>
  <sheetViews>
    <sheetView showZeros="0" zoomScale="130" zoomScaleNormal="130" zoomScalePageLayoutView="0" workbookViewId="0" topLeftCell="A1">
      <selection activeCell="B27" sqref="B27"/>
    </sheetView>
  </sheetViews>
  <sheetFormatPr defaultColWidth="9.140625" defaultRowHeight="15"/>
  <cols>
    <col min="1" max="1" width="6.28125" style="160" customWidth="1"/>
    <col min="2" max="2" width="59.00390625" style="160" customWidth="1"/>
    <col min="3" max="3" width="15.00390625" style="160" customWidth="1"/>
    <col min="4" max="16384" width="9.140625" style="160" customWidth="1"/>
  </cols>
  <sheetData>
    <row r="1" spans="1:3" ht="15">
      <c r="A1" s="412" t="s">
        <v>500</v>
      </c>
      <c r="C1" s="152" t="s">
        <v>504</v>
      </c>
    </row>
    <row r="2" spans="1:3" ht="7.5" customHeight="1">
      <c r="A2" s="412"/>
      <c r="C2" s="152"/>
    </row>
    <row r="3" spans="1:3" ht="15.75">
      <c r="A3" s="441" t="s">
        <v>476</v>
      </c>
      <c r="B3" s="441"/>
      <c r="C3" s="441"/>
    </row>
    <row r="4" spans="1:7" ht="15" customHeight="1">
      <c r="A4" s="435" t="s">
        <v>501</v>
      </c>
      <c r="B4" s="435"/>
      <c r="C4" s="435"/>
      <c r="D4" s="149"/>
      <c r="E4" s="149"/>
      <c r="F4" s="149"/>
      <c r="G4" s="149"/>
    </row>
    <row r="5" ht="15.75">
      <c r="C5" s="161" t="s">
        <v>10</v>
      </c>
    </row>
    <row r="6" spans="1:3" ht="15" customHeight="1">
      <c r="A6" s="442" t="s">
        <v>0</v>
      </c>
      <c r="B6" s="442" t="s">
        <v>9</v>
      </c>
      <c r="C6" s="442" t="s">
        <v>346</v>
      </c>
    </row>
    <row r="7" spans="1:3" ht="15">
      <c r="A7" s="442"/>
      <c r="B7" s="442"/>
      <c r="C7" s="442"/>
    </row>
    <row r="8" spans="1:3" ht="15">
      <c r="A8" s="201" t="s">
        <v>1</v>
      </c>
      <c r="B8" s="201" t="s">
        <v>6</v>
      </c>
      <c r="C8" s="201">
        <v>1</v>
      </c>
    </row>
    <row r="9" spans="1:3" ht="15">
      <c r="A9" s="166"/>
      <c r="B9" s="167" t="s">
        <v>23</v>
      </c>
      <c r="C9" s="168">
        <f>SUM(C10:C11,C47)</f>
        <v>1191907</v>
      </c>
    </row>
    <row r="10" spans="1:3" ht="15">
      <c r="A10" s="170" t="s">
        <v>1</v>
      </c>
      <c r="B10" s="171" t="s">
        <v>205</v>
      </c>
      <c r="C10" s="172">
        <f>'BS70'!E19</f>
        <v>183719</v>
      </c>
    </row>
    <row r="11" spans="1:3" ht="15">
      <c r="A11" s="170" t="s">
        <v>6</v>
      </c>
      <c r="B11" s="174" t="s">
        <v>206</v>
      </c>
      <c r="C11" s="172">
        <f>SUM(C12,C29,C43:C46)</f>
        <v>1008188</v>
      </c>
    </row>
    <row r="12" spans="1:3" ht="15">
      <c r="A12" s="170" t="s">
        <v>2</v>
      </c>
      <c r="B12" s="174" t="s">
        <v>25</v>
      </c>
      <c r="C12" s="172">
        <f>SUM(C13,C27,C28)</f>
        <v>0</v>
      </c>
    </row>
    <row r="13" spans="1:3" ht="15">
      <c r="A13" s="175">
        <v>1</v>
      </c>
      <c r="B13" s="176" t="s">
        <v>94</v>
      </c>
      <c r="C13" s="177">
        <f>'BS72'!C11</f>
        <v>0</v>
      </c>
    </row>
    <row r="14" spans="1:3" ht="15" hidden="1">
      <c r="A14" s="175"/>
      <c r="B14" s="176" t="s">
        <v>100</v>
      </c>
      <c r="C14" s="177"/>
    </row>
    <row r="15" spans="1:3" ht="15" hidden="1">
      <c r="A15" s="175"/>
      <c r="B15" s="176" t="s">
        <v>101</v>
      </c>
      <c r="C15" s="177"/>
    </row>
    <row r="16" spans="1:3" ht="15" hidden="1">
      <c r="A16" s="175"/>
      <c r="B16" s="176" t="s">
        <v>193</v>
      </c>
      <c r="C16" s="177"/>
    </row>
    <row r="17" spans="1:3" ht="15" hidden="1">
      <c r="A17" s="175"/>
      <c r="B17" s="176" t="s">
        <v>194</v>
      </c>
      <c r="C17" s="177"/>
    </row>
    <row r="18" spans="1:3" ht="15" hidden="1">
      <c r="A18" s="175"/>
      <c r="B18" s="176" t="s">
        <v>195</v>
      </c>
      <c r="C18" s="177"/>
    </row>
    <row r="19" spans="1:3" ht="15" hidden="1">
      <c r="A19" s="175"/>
      <c r="B19" s="176" t="s">
        <v>196</v>
      </c>
      <c r="C19" s="177"/>
    </row>
    <row r="20" spans="1:3" ht="15" hidden="1">
      <c r="A20" s="175"/>
      <c r="B20" s="176" t="s">
        <v>197</v>
      </c>
      <c r="C20" s="177"/>
    </row>
    <row r="21" spans="1:3" ht="15" hidden="1">
      <c r="A21" s="175"/>
      <c r="B21" s="176" t="s">
        <v>198</v>
      </c>
      <c r="C21" s="177"/>
    </row>
    <row r="22" spans="1:3" ht="15" hidden="1">
      <c r="A22" s="175"/>
      <c r="B22" s="176" t="s">
        <v>199</v>
      </c>
      <c r="C22" s="177"/>
    </row>
    <row r="23" spans="1:3" ht="15" hidden="1">
      <c r="A23" s="175"/>
      <c r="B23" s="176" t="s">
        <v>200</v>
      </c>
      <c r="C23" s="177"/>
    </row>
    <row r="24" spans="1:3" ht="15" hidden="1">
      <c r="A24" s="175"/>
      <c r="B24" s="176" t="s">
        <v>201</v>
      </c>
      <c r="C24" s="177"/>
    </row>
    <row r="25" spans="1:3" ht="15" hidden="1">
      <c r="A25" s="175"/>
      <c r="B25" s="176" t="s">
        <v>202</v>
      </c>
      <c r="C25" s="177"/>
    </row>
    <row r="26" spans="1:3" ht="15" hidden="1">
      <c r="A26" s="175"/>
      <c r="B26" s="176" t="s">
        <v>203</v>
      </c>
      <c r="C26" s="177"/>
    </row>
    <row r="27" spans="1:3" ht="45">
      <c r="A27" s="175">
        <v>2</v>
      </c>
      <c r="B27" s="176" t="s">
        <v>104</v>
      </c>
      <c r="C27" s="177">
        <f>'B22'!D17</f>
        <v>0</v>
      </c>
    </row>
    <row r="28" spans="1:3" ht="15">
      <c r="A28" s="175">
        <v>3</v>
      </c>
      <c r="B28" s="176" t="s">
        <v>105</v>
      </c>
      <c r="C28" s="177">
        <f>'BS72'!C19</f>
        <v>0</v>
      </c>
    </row>
    <row r="29" spans="1:3" ht="15">
      <c r="A29" s="170" t="s">
        <v>3</v>
      </c>
      <c r="B29" s="174" t="s">
        <v>7</v>
      </c>
      <c r="C29" s="172">
        <f>SUM(C30:C42)</f>
        <v>984558</v>
      </c>
    </row>
    <row r="30" spans="1:3" ht="15">
      <c r="A30" s="175"/>
      <c r="B30" s="176" t="s">
        <v>100</v>
      </c>
      <c r="C30" s="177">
        <f>'[3]sheet1'!D32</f>
        <v>529041</v>
      </c>
    </row>
    <row r="31" spans="1:3" ht="15">
      <c r="A31" s="175"/>
      <c r="B31" s="176" t="s">
        <v>101</v>
      </c>
      <c r="C31" s="177"/>
    </row>
    <row r="32" spans="1:3" ht="15">
      <c r="A32" s="175"/>
      <c r="B32" s="176" t="s">
        <v>193</v>
      </c>
      <c r="C32" s="177">
        <f>'[3]sheet1'!D47</f>
        <v>8291</v>
      </c>
    </row>
    <row r="33" spans="1:3" ht="15">
      <c r="A33" s="175"/>
      <c r="B33" s="176" t="s">
        <v>194</v>
      </c>
      <c r="C33" s="177">
        <f>'[3]sheet1'!D48</f>
        <v>2962</v>
      </c>
    </row>
    <row r="34" spans="1:3" ht="15">
      <c r="A34" s="175"/>
      <c r="B34" s="176" t="s">
        <v>195</v>
      </c>
      <c r="C34" s="177">
        <f>'[3]sheet1'!D37</f>
        <v>111016</v>
      </c>
    </row>
    <row r="35" spans="1:3" ht="15">
      <c r="A35" s="175"/>
      <c r="B35" s="176" t="s">
        <v>196</v>
      </c>
      <c r="C35" s="177">
        <f>'[3]sheet1'!D38</f>
        <v>4419</v>
      </c>
    </row>
    <row r="36" spans="1:3" ht="15">
      <c r="A36" s="175"/>
      <c r="B36" s="176" t="s">
        <v>197</v>
      </c>
      <c r="C36" s="177"/>
    </row>
    <row r="37" spans="1:3" ht="15">
      <c r="A37" s="175"/>
      <c r="B37" s="176" t="s">
        <v>198</v>
      </c>
      <c r="C37" s="177">
        <f>'[3]sheet1'!D39</f>
        <v>2310</v>
      </c>
    </row>
    <row r="38" spans="1:3" ht="15">
      <c r="A38" s="175"/>
      <c r="B38" s="176" t="s">
        <v>199</v>
      </c>
      <c r="C38" s="177">
        <f>'[3]sheet1'!D29</f>
        <v>87928</v>
      </c>
    </row>
    <row r="39" spans="1:3" ht="15">
      <c r="A39" s="175"/>
      <c r="B39" s="176" t="s">
        <v>200</v>
      </c>
      <c r="C39" s="177">
        <f>'[3]sheet1'!D20-C38</f>
        <v>64786</v>
      </c>
    </row>
    <row r="40" spans="1:3" ht="15">
      <c r="A40" s="175"/>
      <c r="B40" s="176" t="s">
        <v>201</v>
      </c>
      <c r="C40" s="177">
        <f>'[3]sheet1'!D41</f>
        <v>71959</v>
      </c>
    </row>
    <row r="41" spans="1:3" ht="15">
      <c r="A41" s="175"/>
      <c r="B41" s="176" t="s">
        <v>202</v>
      </c>
      <c r="C41" s="177">
        <f>'[3]sheet1'!D40</f>
        <v>92853</v>
      </c>
    </row>
    <row r="42" spans="1:3" ht="15">
      <c r="A42" s="175"/>
      <c r="B42" s="176" t="s">
        <v>204</v>
      </c>
      <c r="C42" s="177">
        <f>'[3]sheet1'!D52</f>
        <v>8993</v>
      </c>
    </row>
    <row r="43" spans="1:3" ht="15">
      <c r="A43" s="170" t="s">
        <v>4</v>
      </c>
      <c r="B43" s="174" t="s">
        <v>47</v>
      </c>
      <c r="C43" s="177"/>
    </row>
    <row r="44" spans="1:3" ht="15">
      <c r="A44" s="170" t="s">
        <v>21</v>
      </c>
      <c r="B44" s="174" t="s">
        <v>48</v>
      </c>
      <c r="C44" s="177"/>
    </row>
    <row r="45" spans="1:3" ht="15">
      <c r="A45" s="170" t="s">
        <v>46</v>
      </c>
      <c r="B45" s="174" t="s">
        <v>8</v>
      </c>
      <c r="C45" s="172">
        <f>'[3]sheet1'!D53</f>
        <v>23630</v>
      </c>
    </row>
    <row r="46" spans="1:3" ht="15">
      <c r="A46" s="170" t="s">
        <v>108</v>
      </c>
      <c r="B46" s="174" t="s">
        <v>26</v>
      </c>
      <c r="C46" s="177"/>
    </row>
    <row r="47" spans="1:3" ht="15">
      <c r="A47" s="179" t="s">
        <v>77</v>
      </c>
      <c r="B47" s="180" t="s">
        <v>183</v>
      </c>
      <c r="C47" s="181"/>
    </row>
  </sheetData>
  <sheetProtection/>
  <mergeCells count="5">
    <mergeCell ref="A3:C3"/>
    <mergeCell ref="A6:A7"/>
    <mergeCell ref="B6:B7"/>
    <mergeCell ref="C6:C7"/>
    <mergeCell ref="A4:C4"/>
  </mergeCells>
  <printOptions horizontalCentered="1"/>
  <pageMargins left="1.02" right="0.7" top="0.5" bottom="0" header="0.3"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00000"/>
  </sheetPr>
  <dimension ref="A1:R127"/>
  <sheetViews>
    <sheetView showZeros="0" zoomScale="120" zoomScaleNormal="120" zoomScalePageLayoutView="0" workbookViewId="0" topLeftCell="A1">
      <selection activeCell="K1" sqref="K1"/>
    </sheetView>
  </sheetViews>
  <sheetFormatPr defaultColWidth="9.140625" defaultRowHeight="15"/>
  <cols>
    <col min="1" max="1" width="5.57421875" style="160" customWidth="1"/>
    <col min="2" max="2" width="35.57421875" style="160" customWidth="1"/>
    <col min="3" max="11" width="10.421875" style="160" customWidth="1"/>
    <col min="12" max="16384" width="9.140625" style="160" customWidth="1"/>
  </cols>
  <sheetData>
    <row r="1" spans="1:11" ht="15">
      <c r="A1" s="412" t="s">
        <v>500</v>
      </c>
      <c r="K1" s="152" t="s">
        <v>505</v>
      </c>
    </row>
    <row r="2" spans="1:11" ht="15.75">
      <c r="A2" s="441" t="s">
        <v>477</v>
      </c>
      <c r="B2" s="441"/>
      <c r="C2" s="441"/>
      <c r="D2" s="441"/>
      <c r="E2" s="441"/>
      <c r="F2" s="441"/>
      <c r="G2" s="441"/>
      <c r="H2" s="441"/>
      <c r="I2" s="441"/>
      <c r="J2" s="441"/>
      <c r="K2" s="441"/>
    </row>
    <row r="3" spans="1:18" ht="15" customHeight="1">
      <c r="A3" s="435" t="s">
        <v>501</v>
      </c>
      <c r="B3" s="435"/>
      <c r="C3" s="435"/>
      <c r="D3" s="435"/>
      <c r="E3" s="435"/>
      <c r="F3" s="435"/>
      <c r="G3" s="435"/>
      <c r="H3" s="435"/>
      <c r="I3" s="435"/>
      <c r="J3" s="435"/>
      <c r="K3" s="435"/>
      <c r="L3" s="128"/>
      <c r="M3" s="128"/>
      <c r="N3" s="128"/>
      <c r="O3" s="128"/>
      <c r="P3" s="128"/>
      <c r="Q3" s="128"/>
      <c r="R3" s="128"/>
    </row>
    <row r="4" ht="15.75">
      <c r="K4" s="161" t="s">
        <v>10</v>
      </c>
    </row>
    <row r="5" spans="1:11" ht="29.25" customHeight="1">
      <c r="A5" s="443" t="s">
        <v>0</v>
      </c>
      <c r="B5" s="443" t="s">
        <v>173</v>
      </c>
      <c r="C5" s="443" t="s">
        <v>130</v>
      </c>
      <c r="D5" s="443" t="s">
        <v>93</v>
      </c>
      <c r="E5" s="443" t="s">
        <v>7</v>
      </c>
      <c r="F5" s="443" t="s">
        <v>314</v>
      </c>
      <c r="G5" s="443" t="s">
        <v>48</v>
      </c>
      <c r="H5" s="443" t="s">
        <v>316</v>
      </c>
      <c r="I5" s="443"/>
      <c r="J5" s="443"/>
      <c r="K5" s="443" t="s">
        <v>310</v>
      </c>
    </row>
    <row r="6" spans="1:11" ht="65.25" customHeight="1">
      <c r="A6" s="443"/>
      <c r="B6" s="443"/>
      <c r="C6" s="443"/>
      <c r="D6" s="443"/>
      <c r="E6" s="443"/>
      <c r="F6" s="443"/>
      <c r="G6" s="443"/>
      <c r="H6" s="200" t="s">
        <v>130</v>
      </c>
      <c r="I6" s="200" t="s">
        <v>93</v>
      </c>
      <c r="J6" s="200" t="s">
        <v>7</v>
      </c>
      <c r="K6" s="443"/>
    </row>
    <row r="7" spans="1:11" ht="15.75">
      <c r="A7" s="200" t="s">
        <v>1</v>
      </c>
      <c r="B7" s="200" t="s">
        <v>6</v>
      </c>
      <c r="C7" s="187" t="s">
        <v>51</v>
      </c>
      <c r="D7" s="187" t="s">
        <v>52</v>
      </c>
      <c r="E7" s="187" t="s">
        <v>53</v>
      </c>
      <c r="F7" s="187" t="s">
        <v>54</v>
      </c>
      <c r="G7" s="187" t="s">
        <v>299</v>
      </c>
      <c r="H7" s="187" t="s">
        <v>300</v>
      </c>
      <c r="I7" s="187" t="s">
        <v>301</v>
      </c>
      <c r="J7" s="187" t="s">
        <v>302</v>
      </c>
      <c r="K7" s="187" t="s">
        <v>303</v>
      </c>
    </row>
    <row r="8" spans="1:11" ht="15.75">
      <c r="A8" s="211"/>
      <c r="B8" s="402" t="s">
        <v>149</v>
      </c>
      <c r="C8" s="403">
        <f aca="true" t="shared" si="0" ref="C8:K8">SUM(C9,C124:C127)</f>
        <v>1168277</v>
      </c>
      <c r="D8" s="403">
        <f t="shared" si="0"/>
        <v>0</v>
      </c>
      <c r="E8" s="403">
        <f t="shared" si="0"/>
        <v>1164195</v>
      </c>
      <c r="F8" s="403">
        <f t="shared" si="0"/>
        <v>0</v>
      </c>
      <c r="G8" s="403">
        <f t="shared" si="0"/>
        <v>0</v>
      </c>
      <c r="H8" s="403">
        <f t="shared" si="0"/>
        <v>4082</v>
      </c>
      <c r="I8" s="403">
        <f t="shared" si="0"/>
        <v>0</v>
      </c>
      <c r="J8" s="403">
        <f t="shared" si="0"/>
        <v>4082</v>
      </c>
      <c r="K8" s="403">
        <f t="shared" si="0"/>
        <v>0</v>
      </c>
    </row>
    <row r="9" spans="1:11" ht="15.75">
      <c r="A9" s="211" t="s">
        <v>2</v>
      </c>
      <c r="B9" s="402" t="s">
        <v>311</v>
      </c>
      <c r="C9" s="403">
        <f aca="true" t="shared" si="1" ref="C9:K9">SUM(C10:C123)</f>
        <v>984558</v>
      </c>
      <c r="D9" s="403">
        <f t="shared" si="1"/>
        <v>0</v>
      </c>
      <c r="E9" s="403">
        <f t="shared" si="1"/>
        <v>980476</v>
      </c>
      <c r="F9" s="403">
        <f t="shared" si="1"/>
        <v>0</v>
      </c>
      <c r="G9" s="403">
        <f t="shared" si="1"/>
        <v>0</v>
      </c>
      <c r="H9" s="403">
        <f t="shared" si="1"/>
        <v>4082</v>
      </c>
      <c r="I9" s="403">
        <f t="shared" si="1"/>
        <v>0</v>
      </c>
      <c r="J9" s="403">
        <f t="shared" si="1"/>
        <v>4082</v>
      </c>
      <c r="K9" s="403">
        <f t="shared" si="1"/>
        <v>0</v>
      </c>
    </row>
    <row r="10" spans="1:11" ht="15.75">
      <c r="A10" s="401">
        <f>'BS76'!A9</f>
        <v>1</v>
      </c>
      <c r="B10" s="404" t="str">
        <f>'BS76'!B9</f>
        <v>Văn phòng HĐND và UBND</v>
      </c>
      <c r="C10" s="405">
        <f>SUM(D10:H10,K10)</f>
        <v>14746</v>
      </c>
      <c r="D10" s="405"/>
      <c r="E10" s="405">
        <f>'BS76'!C9</f>
        <v>14746</v>
      </c>
      <c r="F10" s="405"/>
      <c r="G10" s="405"/>
      <c r="H10" s="405">
        <f>SUM(I10:J10)</f>
        <v>0</v>
      </c>
      <c r="I10" s="405"/>
      <c r="J10" s="405"/>
      <c r="K10" s="405"/>
    </row>
    <row r="11" spans="1:11" ht="15.75">
      <c r="A11" s="401">
        <f>'BS76'!A10</f>
        <v>2</v>
      </c>
      <c r="B11" s="404" t="str">
        <f>'BS76'!B10</f>
        <v>Phòng Tài chính - Kế hoạch</v>
      </c>
      <c r="C11" s="405">
        <f aca="true" t="shared" si="2" ref="C11:C74">SUM(D11:H11,K11)</f>
        <v>4502</v>
      </c>
      <c r="D11" s="405"/>
      <c r="E11" s="405">
        <f>'BS76'!C10</f>
        <v>4502</v>
      </c>
      <c r="F11" s="405"/>
      <c r="G11" s="405"/>
      <c r="H11" s="405">
        <f aca="true" t="shared" si="3" ref="H11:H74">SUM(I11:J11)</f>
        <v>0</v>
      </c>
      <c r="I11" s="405"/>
      <c r="J11" s="405"/>
      <c r="K11" s="405"/>
    </row>
    <row r="12" spans="1:11" ht="15.75">
      <c r="A12" s="401">
        <f>'BS76'!A11</f>
        <v>3</v>
      </c>
      <c r="B12" s="404" t="str">
        <f>'BS76'!B11</f>
        <v>Phòng Kinh tế</v>
      </c>
      <c r="C12" s="405">
        <f t="shared" si="2"/>
        <v>3011</v>
      </c>
      <c r="D12" s="405"/>
      <c r="E12" s="405">
        <f>'BS76'!C11</f>
        <v>3011</v>
      </c>
      <c r="F12" s="405"/>
      <c r="G12" s="405"/>
      <c r="H12" s="405">
        <f t="shared" si="3"/>
        <v>0</v>
      </c>
      <c r="I12" s="405"/>
      <c r="J12" s="405">
        <f>'BS72'!D32</f>
        <v>0</v>
      </c>
      <c r="K12" s="405"/>
    </row>
    <row r="13" spans="1:11" ht="15.75">
      <c r="A13" s="401">
        <f>'BS76'!A12</f>
        <v>4</v>
      </c>
      <c r="B13" s="404" t="str">
        <f>'BS76'!B12</f>
        <v>Phòng Văn hóa và Thông tin</v>
      </c>
      <c r="C13" s="405">
        <f t="shared" si="2"/>
        <v>2432</v>
      </c>
      <c r="D13" s="405"/>
      <c r="E13" s="405">
        <f>'BS76'!C12</f>
        <v>2432</v>
      </c>
      <c r="F13" s="405"/>
      <c r="G13" s="405"/>
      <c r="H13" s="405">
        <f t="shared" si="3"/>
        <v>0</v>
      </c>
      <c r="I13" s="405"/>
      <c r="J13" s="405"/>
      <c r="K13" s="405"/>
    </row>
    <row r="14" spans="1:11" ht="15.75">
      <c r="A14" s="401">
        <f>'BS76'!A13</f>
        <v>5</v>
      </c>
      <c r="B14" s="404" t="str">
        <f>'BS76'!B13</f>
        <v>Phòng LĐ - TB và XH</v>
      </c>
      <c r="C14" s="405">
        <f t="shared" si="2"/>
        <v>128891</v>
      </c>
      <c r="D14" s="405"/>
      <c r="E14" s="405">
        <f>'BS76'!C13</f>
        <v>128666</v>
      </c>
      <c r="F14" s="405"/>
      <c r="G14" s="405"/>
      <c r="H14" s="405">
        <f t="shared" si="3"/>
        <v>225</v>
      </c>
      <c r="I14" s="405"/>
      <c r="J14" s="405">
        <f>'BS79'!K12</f>
        <v>225</v>
      </c>
      <c r="K14" s="405"/>
    </row>
    <row r="15" spans="1:11" ht="15.75">
      <c r="A15" s="401">
        <f>'BS76'!A14</f>
        <v>6</v>
      </c>
      <c r="B15" s="404" t="str">
        <f>'BS76'!B14</f>
        <v>Phòng Quản lý đô thị</v>
      </c>
      <c r="C15" s="405">
        <f t="shared" si="2"/>
        <v>47136</v>
      </c>
      <c r="D15" s="405"/>
      <c r="E15" s="405">
        <f>'BS76'!C14</f>
        <v>47136</v>
      </c>
      <c r="F15" s="405"/>
      <c r="G15" s="405"/>
      <c r="H15" s="405">
        <f t="shared" si="3"/>
        <v>0</v>
      </c>
      <c r="I15" s="405"/>
      <c r="J15" s="405"/>
      <c r="K15" s="405"/>
    </row>
    <row r="16" spans="1:11" ht="15.75">
      <c r="A16" s="401">
        <f>'BS76'!A15</f>
        <v>7</v>
      </c>
      <c r="B16" s="404" t="str">
        <f>'BS76'!B15</f>
        <v>Phòng Tài nguyên và Môi trường</v>
      </c>
      <c r="C16" s="405">
        <f t="shared" si="2"/>
        <v>81705</v>
      </c>
      <c r="D16" s="405"/>
      <c r="E16" s="405">
        <f>'BS76'!C15</f>
        <v>81705</v>
      </c>
      <c r="F16" s="405"/>
      <c r="G16" s="405"/>
      <c r="H16" s="405">
        <f t="shared" si="3"/>
        <v>0</v>
      </c>
      <c r="I16" s="405"/>
      <c r="J16" s="405"/>
      <c r="K16" s="405"/>
    </row>
    <row r="17" spans="1:11" ht="15.75">
      <c r="A17" s="401">
        <f>'BS76'!A16</f>
        <v>8</v>
      </c>
      <c r="B17" s="404" t="str">
        <f>'BS76'!B16</f>
        <v>Phòng Tư pháp</v>
      </c>
      <c r="C17" s="405">
        <f t="shared" si="2"/>
        <v>1664</v>
      </c>
      <c r="D17" s="405"/>
      <c r="E17" s="405">
        <f>'BS76'!C16</f>
        <v>1664</v>
      </c>
      <c r="F17" s="405"/>
      <c r="G17" s="405"/>
      <c r="H17" s="405">
        <f t="shared" si="3"/>
        <v>0</v>
      </c>
      <c r="I17" s="405"/>
      <c r="J17" s="405"/>
      <c r="K17" s="405"/>
    </row>
    <row r="18" spans="1:11" ht="15.75">
      <c r="A18" s="401">
        <f>'BS76'!A17</f>
        <v>9</v>
      </c>
      <c r="B18" s="404" t="str">
        <f>'BS76'!B17</f>
        <v>Thanh tra</v>
      </c>
      <c r="C18" s="405">
        <f t="shared" si="2"/>
        <v>2181</v>
      </c>
      <c r="D18" s="405"/>
      <c r="E18" s="405">
        <f>'BS76'!C17</f>
        <v>2181</v>
      </c>
      <c r="F18" s="405"/>
      <c r="G18" s="405"/>
      <c r="H18" s="405">
        <f t="shared" si="3"/>
        <v>0</v>
      </c>
      <c r="I18" s="405"/>
      <c r="J18" s="405"/>
      <c r="K18" s="405"/>
    </row>
    <row r="19" spans="1:11" ht="15.75">
      <c r="A19" s="401">
        <f>'BS76'!A18</f>
        <v>10</v>
      </c>
      <c r="B19" s="404" t="str">
        <f>'BS76'!B18</f>
        <v>Phòng Nội vụ</v>
      </c>
      <c r="C19" s="405">
        <f t="shared" si="2"/>
        <v>3989</v>
      </c>
      <c r="D19" s="405"/>
      <c r="E19" s="405">
        <f>'BS76'!C18</f>
        <v>3989</v>
      </c>
      <c r="F19" s="405"/>
      <c r="G19" s="405"/>
      <c r="H19" s="405">
        <f t="shared" si="3"/>
        <v>0</v>
      </c>
      <c r="I19" s="405"/>
      <c r="J19" s="405"/>
      <c r="K19" s="405"/>
    </row>
    <row r="20" spans="1:11" ht="15.75">
      <c r="A20" s="401">
        <f>'BS76'!A19</f>
        <v>11</v>
      </c>
      <c r="B20" s="404" t="str">
        <f>'BS76'!B19</f>
        <v>Phòng Giáo dục và Đào tạo</v>
      </c>
      <c r="C20" s="405">
        <f t="shared" si="2"/>
        <v>3845</v>
      </c>
      <c r="D20" s="405"/>
      <c r="E20" s="405">
        <f>'BS76'!C19</f>
        <v>3845</v>
      </c>
      <c r="F20" s="405"/>
      <c r="G20" s="405"/>
      <c r="H20" s="405">
        <f t="shared" si="3"/>
        <v>0</v>
      </c>
      <c r="I20" s="405"/>
      <c r="J20" s="405"/>
      <c r="K20" s="405"/>
    </row>
    <row r="21" spans="1:11" ht="15.75">
      <c r="A21" s="401">
        <f>'BS76'!A20</f>
        <v>12</v>
      </c>
      <c r="B21" s="404" t="str">
        <f>'BS76'!B20</f>
        <v>Phòng Y tế</v>
      </c>
      <c r="C21" s="405">
        <f t="shared" si="2"/>
        <v>4869</v>
      </c>
      <c r="D21" s="405"/>
      <c r="E21" s="405">
        <f>'BS76'!C20</f>
        <v>2202</v>
      </c>
      <c r="F21" s="405"/>
      <c r="G21" s="405"/>
      <c r="H21" s="405">
        <f t="shared" si="3"/>
        <v>2667</v>
      </c>
      <c r="I21" s="405"/>
      <c r="J21" s="405">
        <f>'BS79'!K11</f>
        <v>2667</v>
      </c>
      <c r="K21" s="405"/>
    </row>
    <row r="22" spans="1:11" ht="15.75" hidden="1">
      <c r="A22" s="401">
        <f>'BS76'!A21</f>
        <v>0</v>
      </c>
      <c r="B22" s="404" t="str">
        <f>'BS76'!B21</f>
        <v>BQL DAĐTXD khu vực</v>
      </c>
      <c r="C22" s="405">
        <f t="shared" si="2"/>
        <v>0</v>
      </c>
      <c r="D22" s="405"/>
      <c r="E22" s="405">
        <f>'BS76'!C21</f>
        <v>0</v>
      </c>
      <c r="F22" s="405"/>
      <c r="G22" s="405"/>
      <c r="H22" s="405">
        <f t="shared" si="3"/>
        <v>0</v>
      </c>
      <c r="I22" s="405"/>
      <c r="J22" s="405"/>
      <c r="K22" s="405"/>
    </row>
    <row r="23" spans="1:11" ht="15.75">
      <c r="A23" s="401">
        <f>'BS76'!A22</f>
        <v>13</v>
      </c>
      <c r="B23" s="404" t="str">
        <f>'BS76'!B22</f>
        <v>Trung tâm Y tế</v>
      </c>
      <c r="C23" s="405">
        <f t="shared" si="2"/>
        <v>49889</v>
      </c>
      <c r="D23" s="405"/>
      <c r="E23" s="405">
        <f>'BS76'!C22</f>
        <v>48730</v>
      </c>
      <c r="F23" s="405"/>
      <c r="G23" s="405"/>
      <c r="H23" s="405">
        <f t="shared" si="3"/>
        <v>1159</v>
      </c>
      <c r="I23" s="405"/>
      <c r="J23" s="405">
        <f>'BS79'!K13</f>
        <v>1159</v>
      </c>
      <c r="K23" s="405"/>
    </row>
    <row r="24" spans="1:11" ht="15.75">
      <c r="A24" s="401">
        <f>'BS76'!A23</f>
        <v>14</v>
      </c>
      <c r="B24" s="404" t="str">
        <f>'BS76'!B23</f>
        <v>Bệnh viện</v>
      </c>
      <c r="C24" s="405">
        <f t="shared" si="2"/>
        <v>8599</v>
      </c>
      <c r="D24" s="405"/>
      <c r="E24" s="405">
        <f>'BS76'!C23</f>
        <v>8599</v>
      </c>
      <c r="F24" s="405"/>
      <c r="G24" s="405"/>
      <c r="H24" s="405">
        <f t="shared" si="3"/>
        <v>0</v>
      </c>
      <c r="I24" s="405"/>
      <c r="J24" s="405"/>
      <c r="K24" s="405"/>
    </row>
    <row r="25" spans="1:11" ht="15.75">
      <c r="A25" s="401">
        <f>'BS76'!A24</f>
        <v>15</v>
      </c>
      <c r="B25" s="404" t="str">
        <f>'BS76'!B24</f>
        <v>Trung tâm Văn hóa</v>
      </c>
      <c r="C25" s="405">
        <f t="shared" si="2"/>
        <v>1689</v>
      </c>
      <c r="D25" s="405"/>
      <c r="E25" s="405">
        <f>'BS76'!C24</f>
        <v>1689</v>
      </c>
      <c r="F25" s="405"/>
      <c r="G25" s="405"/>
      <c r="H25" s="405">
        <f t="shared" si="3"/>
        <v>0</v>
      </c>
      <c r="I25" s="405"/>
      <c r="J25" s="405"/>
      <c r="K25" s="405"/>
    </row>
    <row r="26" spans="1:11" ht="15.75">
      <c r="A26" s="401">
        <f>'BS76'!A25</f>
        <v>16</v>
      </c>
      <c r="B26" s="404" t="str">
        <f>'BS76'!B25</f>
        <v>Nhà Thiếu nhi</v>
      </c>
      <c r="C26" s="405">
        <f t="shared" si="2"/>
        <v>1430</v>
      </c>
      <c r="D26" s="405"/>
      <c r="E26" s="405">
        <f>'BS76'!C25</f>
        <v>1430</v>
      </c>
      <c r="F26" s="405"/>
      <c r="G26" s="405"/>
      <c r="H26" s="405">
        <f t="shared" si="3"/>
        <v>0</v>
      </c>
      <c r="I26" s="405"/>
      <c r="J26" s="405"/>
      <c r="K26" s="405"/>
    </row>
    <row r="27" spans="1:11" ht="15.75">
      <c r="A27" s="401">
        <f>'BS76'!A26</f>
        <v>17</v>
      </c>
      <c r="B27" s="404" t="str">
        <f>'BS76'!B26</f>
        <v>Trung tâm Thể dục thể thao</v>
      </c>
      <c r="C27" s="405">
        <f t="shared" si="2"/>
        <v>2310</v>
      </c>
      <c r="D27" s="405"/>
      <c r="E27" s="405">
        <f>'BS76'!C26</f>
        <v>2310</v>
      </c>
      <c r="F27" s="405"/>
      <c r="G27" s="405"/>
      <c r="H27" s="405">
        <f t="shared" si="3"/>
        <v>0</v>
      </c>
      <c r="I27" s="405"/>
      <c r="J27" s="405"/>
      <c r="K27" s="405"/>
    </row>
    <row r="28" spans="1:11" ht="15.75">
      <c r="A28" s="401">
        <f>'BS76'!A27</f>
        <v>18</v>
      </c>
      <c r="B28" s="404" t="str">
        <f>'BS76'!B27</f>
        <v>Trung tâm Bồi dưỡng chính trị</v>
      </c>
      <c r="C28" s="405">
        <f t="shared" si="2"/>
        <v>2173</v>
      </c>
      <c r="D28" s="405"/>
      <c r="E28" s="405">
        <f>'BS76'!C27</f>
        <v>2173</v>
      </c>
      <c r="F28" s="405"/>
      <c r="G28" s="405"/>
      <c r="H28" s="405">
        <f t="shared" si="3"/>
        <v>0</v>
      </c>
      <c r="I28" s="405"/>
      <c r="J28" s="405"/>
      <c r="K28" s="405"/>
    </row>
    <row r="29" spans="1:11" ht="15.75">
      <c r="A29" s="401">
        <f>'BS76'!A28</f>
        <v>19</v>
      </c>
      <c r="B29" s="404" t="str">
        <f>'BS76'!B28</f>
        <v>Ban Chỉ huy Quân sự</v>
      </c>
      <c r="C29" s="405">
        <f t="shared" si="2"/>
        <v>8291</v>
      </c>
      <c r="D29" s="405"/>
      <c r="E29" s="405">
        <f>'BS76'!C28</f>
        <v>8291</v>
      </c>
      <c r="F29" s="405"/>
      <c r="G29" s="405"/>
      <c r="H29" s="405">
        <f t="shared" si="3"/>
        <v>0</v>
      </c>
      <c r="I29" s="405"/>
      <c r="J29" s="405"/>
      <c r="K29" s="405"/>
    </row>
    <row r="30" spans="1:11" ht="15.75">
      <c r="A30" s="401">
        <f>'BS76'!A29</f>
        <v>20</v>
      </c>
      <c r="B30" s="404" t="str">
        <f>'BS76'!B29</f>
        <v>Công an</v>
      </c>
      <c r="C30" s="405">
        <f t="shared" si="2"/>
        <v>2962</v>
      </c>
      <c r="D30" s="405"/>
      <c r="E30" s="405">
        <f>'BS76'!C29</f>
        <v>2962</v>
      </c>
      <c r="F30" s="405"/>
      <c r="G30" s="405"/>
      <c r="H30" s="405">
        <f t="shared" si="3"/>
        <v>0</v>
      </c>
      <c r="I30" s="405"/>
      <c r="J30" s="405"/>
      <c r="K30" s="405"/>
    </row>
    <row r="31" spans="1:11" ht="15.75">
      <c r="A31" s="401">
        <f>'BS76'!A30</f>
        <v>21</v>
      </c>
      <c r="B31" s="404" t="str">
        <f>'BS76'!B30</f>
        <v>Ủy ban Mặt trận Tổ quốc Việt Nam</v>
      </c>
      <c r="C31" s="405">
        <f t="shared" si="2"/>
        <v>4691</v>
      </c>
      <c r="D31" s="405"/>
      <c r="E31" s="405">
        <f>'BS76'!C30</f>
        <v>4691</v>
      </c>
      <c r="F31" s="405"/>
      <c r="G31" s="405"/>
      <c r="H31" s="405">
        <f t="shared" si="3"/>
        <v>0</v>
      </c>
      <c r="I31" s="405"/>
      <c r="J31" s="405"/>
      <c r="K31" s="405"/>
    </row>
    <row r="32" spans="1:11" ht="15.75">
      <c r="A32" s="401">
        <f>'BS76'!A31</f>
        <v>22</v>
      </c>
      <c r="B32" s="404" t="str">
        <f>'BS76'!B31</f>
        <v>Quận Đoàn</v>
      </c>
      <c r="C32" s="405">
        <f t="shared" si="2"/>
        <v>3285</v>
      </c>
      <c r="D32" s="405"/>
      <c r="E32" s="405">
        <f>'BS76'!C31</f>
        <v>3285</v>
      </c>
      <c r="F32" s="405"/>
      <c r="G32" s="405"/>
      <c r="H32" s="405">
        <f t="shared" si="3"/>
        <v>0</v>
      </c>
      <c r="I32" s="405"/>
      <c r="J32" s="405"/>
      <c r="K32" s="405"/>
    </row>
    <row r="33" spans="1:11" ht="15.75">
      <c r="A33" s="401">
        <f>'BS76'!A32</f>
        <v>23</v>
      </c>
      <c r="B33" s="404" t="str">
        <f>'BS76'!B32</f>
        <v>Hội Liên hiệp Phụ nữ</v>
      </c>
      <c r="C33" s="405">
        <f t="shared" si="2"/>
        <v>2538</v>
      </c>
      <c r="D33" s="405"/>
      <c r="E33" s="405">
        <f>'BS76'!C32</f>
        <v>2538</v>
      </c>
      <c r="F33" s="405"/>
      <c r="G33" s="405"/>
      <c r="H33" s="405">
        <f t="shared" si="3"/>
        <v>0</v>
      </c>
      <c r="I33" s="405"/>
      <c r="J33" s="405"/>
      <c r="K33" s="405"/>
    </row>
    <row r="34" spans="1:11" ht="15.75">
      <c r="A34" s="401">
        <f>'BS76'!A33</f>
        <v>24</v>
      </c>
      <c r="B34" s="404" t="str">
        <f>'BS76'!B33</f>
        <v>Hội Cựu chiến binh</v>
      </c>
      <c r="C34" s="405">
        <f t="shared" si="2"/>
        <v>1201</v>
      </c>
      <c r="D34" s="405"/>
      <c r="E34" s="405">
        <f>'BS76'!C33</f>
        <v>1201</v>
      </c>
      <c r="F34" s="405"/>
      <c r="G34" s="405"/>
      <c r="H34" s="405">
        <f t="shared" si="3"/>
        <v>0</v>
      </c>
      <c r="I34" s="405"/>
      <c r="J34" s="405"/>
      <c r="K34" s="405"/>
    </row>
    <row r="35" spans="1:11" ht="15.75">
      <c r="A35" s="401">
        <f>'BS76'!A34</f>
        <v>25</v>
      </c>
      <c r="B35" s="404" t="str">
        <f>'BS76'!B34</f>
        <v>Hội Chữ thập đỏ</v>
      </c>
      <c r="C35" s="405">
        <f t="shared" si="2"/>
        <v>989</v>
      </c>
      <c r="D35" s="405"/>
      <c r="E35" s="405">
        <f>'BS76'!C34</f>
        <v>989</v>
      </c>
      <c r="F35" s="405"/>
      <c r="G35" s="405"/>
      <c r="H35" s="405">
        <f t="shared" si="3"/>
        <v>0</v>
      </c>
      <c r="I35" s="405"/>
      <c r="J35" s="405"/>
      <c r="K35" s="405"/>
    </row>
    <row r="36" spans="1:11" ht="15.75">
      <c r="A36" s="401">
        <f>'BS76'!A35</f>
        <v>26</v>
      </c>
      <c r="B36" s="404" t="str">
        <f>'BS76'!B35</f>
        <v>Trường Mầm non Vườn Hồng</v>
      </c>
      <c r="C36" s="405">
        <f t="shared" si="2"/>
        <v>9259</v>
      </c>
      <c r="D36" s="405"/>
      <c r="E36" s="405">
        <f>'BS76'!C35</f>
        <v>9259</v>
      </c>
      <c r="F36" s="405"/>
      <c r="G36" s="405"/>
      <c r="H36" s="405">
        <f t="shared" si="3"/>
        <v>0</v>
      </c>
      <c r="I36" s="405"/>
      <c r="J36" s="405"/>
      <c r="K36" s="405"/>
    </row>
    <row r="37" spans="1:11" ht="15.75">
      <c r="A37" s="401">
        <f>'BS76'!A36</f>
        <v>27</v>
      </c>
      <c r="B37" s="404" t="str">
        <f>'BS76'!B36</f>
        <v>Trường Mầm non Việt Nhi</v>
      </c>
      <c r="C37" s="405">
        <f t="shared" si="2"/>
        <v>7708</v>
      </c>
      <c r="D37" s="405"/>
      <c r="E37" s="405">
        <f>'BS76'!C36</f>
        <v>7708</v>
      </c>
      <c r="F37" s="405"/>
      <c r="G37" s="405"/>
      <c r="H37" s="405">
        <f t="shared" si="3"/>
        <v>0</v>
      </c>
      <c r="I37" s="405"/>
      <c r="J37" s="405"/>
      <c r="K37" s="405"/>
    </row>
    <row r="38" spans="1:11" ht="15.75">
      <c r="A38" s="401">
        <f>'BS76'!A37</f>
        <v>28</v>
      </c>
      <c r="B38" s="404" t="str">
        <f>'BS76'!B37</f>
        <v>Trường Mầm non Bình Minh</v>
      </c>
      <c r="C38" s="405">
        <f t="shared" si="2"/>
        <v>5845</v>
      </c>
      <c r="D38" s="405"/>
      <c r="E38" s="405">
        <f>'BS76'!C37</f>
        <v>5845</v>
      </c>
      <c r="F38" s="405"/>
      <c r="G38" s="405"/>
      <c r="H38" s="405">
        <f t="shared" si="3"/>
        <v>0</v>
      </c>
      <c r="I38" s="405"/>
      <c r="J38" s="405"/>
      <c r="K38" s="405"/>
    </row>
    <row r="39" spans="1:11" ht="15.75">
      <c r="A39" s="401">
        <f>'BS76'!A38</f>
        <v>29</v>
      </c>
      <c r="B39" s="404" t="str">
        <f>'BS76'!B38</f>
        <v>Trường Mầm non Tuổi Hoa</v>
      </c>
      <c r="C39" s="405">
        <f t="shared" si="2"/>
        <v>7739</v>
      </c>
      <c r="D39" s="405"/>
      <c r="E39" s="405">
        <f>'BS76'!C38</f>
        <v>7739</v>
      </c>
      <c r="F39" s="405"/>
      <c r="G39" s="405"/>
      <c r="H39" s="405">
        <f t="shared" si="3"/>
        <v>0</v>
      </c>
      <c r="I39" s="405"/>
      <c r="J39" s="405"/>
      <c r="K39" s="405"/>
    </row>
    <row r="40" spans="1:11" ht="15.75">
      <c r="A40" s="401">
        <f>'BS76'!A39</f>
        <v>30</v>
      </c>
      <c r="B40" s="404" t="str">
        <f>'BS76'!B39</f>
        <v>Trường Mầm non Tuổi Thơ</v>
      </c>
      <c r="C40" s="405">
        <f t="shared" si="2"/>
        <v>7851</v>
      </c>
      <c r="D40" s="405"/>
      <c r="E40" s="405">
        <f>'BS76'!C39</f>
        <v>7851</v>
      </c>
      <c r="F40" s="405"/>
      <c r="G40" s="405"/>
      <c r="H40" s="405">
        <f t="shared" si="3"/>
        <v>0</v>
      </c>
      <c r="I40" s="405"/>
      <c r="J40" s="405"/>
      <c r="K40" s="405"/>
    </row>
    <row r="41" spans="1:11" ht="15.75">
      <c r="A41" s="401">
        <f>'BS76'!A40</f>
        <v>31</v>
      </c>
      <c r="B41" s="404" t="str">
        <f>'BS76'!B40</f>
        <v>Trường Mầm non 19/5</v>
      </c>
      <c r="C41" s="405">
        <f t="shared" si="2"/>
        <v>11588</v>
      </c>
      <c r="D41" s="405"/>
      <c r="E41" s="405">
        <f>'BS76'!C40</f>
        <v>11588</v>
      </c>
      <c r="F41" s="405"/>
      <c r="G41" s="405"/>
      <c r="H41" s="405">
        <f t="shared" si="3"/>
        <v>0</v>
      </c>
      <c r="I41" s="405"/>
      <c r="J41" s="405"/>
      <c r="K41" s="405"/>
    </row>
    <row r="42" spans="1:11" ht="15.75">
      <c r="A42" s="401">
        <f>'BS76'!A41</f>
        <v>32</v>
      </c>
      <c r="B42" s="404" t="str">
        <f>'BS76'!B41</f>
        <v>Trường Mầm non Tuổi Ngọc</v>
      </c>
      <c r="C42" s="405">
        <f t="shared" si="2"/>
        <v>10976</v>
      </c>
      <c r="D42" s="405"/>
      <c r="E42" s="405">
        <f>'BS76'!C41</f>
        <v>10976</v>
      </c>
      <c r="F42" s="405"/>
      <c r="G42" s="405"/>
      <c r="H42" s="405">
        <f t="shared" si="3"/>
        <v>0</v>
      </c>
      <c r="I42" s="405"/>
      <c r="J42" s="405"/>
      <c r="K42" s="405"/>
    </row>
    <row r="43" spans="1:11" ht="15.75">
      <c r="A43" s="401">
        <f>'BS76'!A42</f>
        <v>33</v>
      </c>
      <c r="B43" s="404" t="str">
        <f>'BS76'!B42</f>
        <v>Trường Mầm non Thỏ Ngọc</v>
      </c>
      <c r="C43" s="405">
        <f t="shared" si="2"/>
        <v>7416</v>
      </c>
      <c r="D43" s="405"/>
      <c r="E43" s="405">
        <f>'BS76'!C42</f>
        <v>7416</v>
      </c>
      <c r="F43" s="405"/>
      <c r="G43" s="405"/>
      <c r="H43" s="405">
        <f t="shared" si="3"/>
        <v>0</v>
      </c>
      <c r="I43" s="405"/>
      <c r="J43" s="405"/>
      <c r="K43" s="405"/>
    </row>
    <row r="44" spans="1:11" ht="15.75">
      <c r="A44" s="401">
        <f>'BS76'!A43</f>
        <v>34</v>
      </c>
      <c r="B44" s="404" t="str">
        <f>'BS76'!B43</f>
        <v>Trường Mầm non Vành Khuyên</v>
      </c>
      <c r="C44" s="405">
        <f t="shared" si="2"/>
        <v>5551</v>
      </c>
      <c r="D44" s="405"/>
      <c r="E44" s="405">
        <f>'BS76'!C43</f>
        <v>5551</v>
      </c>
      <c r="F44" s="405"/>
      <c r="G44" s="405"/>
      <c r="H44" s="405">
        <f t="shared" si="3"/>
        <v>0</v>
      </c>
      <c r="I44" s="405"/>
      <c r="J44" s="405"/>
      <c r="K44" s="405"/>
    </row>
    <row r="45" spans="1:11" ht="15.75">
      <c r="A45" s="401">
        <f>'BS76'!A44</f>
        <v>35</v>
      </c>
      <c r="B45" s="404" t="str">
        <f>'BS76'!B44</f>
        <v>Trường Mầm non Vàng Anh</v>
      </c>
      <c r="C45" s="405">
        <f t="shared" si="2"/>
        <v>7058</v>
      </c>
      <c r="D45" s="405"/>
      <c r="E45" s="405">
        <f>'BS76'!C44</f>
        <v>7058</v>
      </c>
      <c r="F45" s="405"/>
      <c r="G45" s="405"/>
      <c r="H45" s="405">
        <f t="shared" si="3"/>
        <v>0</v>
      </c>
      <c r="I45" s="405"/>
      <c r="J45" s="405"/>
      <c r="K45" s="405"/>
    </row>
    <row r="46" spans="1:11" ht="15.75">
      <c r="A46" s="401">
        <f>'BS76'!A45</f>
        <v>36</v>
      </c>
      <c r="B46" s="404" t="str">
        <f>'BS76'!B45</f>
        <v>Trường Mầm non Nắng Mai</v>
      </c>
      <c r="C46" s="405">
        <f t="shared" si="2"/>
        <v>5893</v>
      </c>
      <c r="D46" s="405"/>
      <c r="E46" s="405">
        <f>'BS76'!C45</f>
        <v>5893</v>
      </c>
      <c r="F46" s="405"/>
      <c r="G46" s="405"/>
      <c r="H46" s="405">
        <f t="shared" si="3"/>
        <v>0</v>
      </c>
      <c r="I46" s="405"/>
      <c r="J46" s="405"/>
      <c r="K46" s="405"/>
    </row>
    <row r="47" spans="1:11" ht="15.75">
      <c r="A47" s="401">
        <f>'BS76'!A46</f>
        <v>37</v>
      </c>
      <c r="B47" s="404" t="str">
        <f>'BS76'!B46</f>
        <v>Trường Mầm non Sơn Ca</v>
      </c>
      <c r="C47" s="405">
        <f t="shared" si="2"/>
        <v>4938</v>
      </c>
      <c r="D47" s="405"/>
      <c r="E47" s="405">
        <f>'BS76'!C46</f>
        <v>4938</v>
      </c>
      <c r="F47" s="405"/>
      <c r="G47" s="405"/>
      <c r="H47" s="405">
        <f t="shared" si="3"/>
        <v>0</v>
      </c>
      <c r="I47" s="405"/>
      <c r="J47" s="405"/>
      <c r="K47" s="405"/>
    </row>
    <row r="48" spans="1:11" ht="15.75">
      <c r="A48" s="401">
        <f>'BS76'!A47</f>
        <v>38</v>
      </c>
      <c r="B48" s="404" t="str">
        <f>'BS76'!B47</f>
        <v>Trường Mầm non Họa Mi</v>
      </c>
      <c r="C48" s="405">
        <f t="shared" si="2"/>
        <v>5863</v>
      </c>
      <c r="D48" s="405"/>
      <c r="E48" s="405">
        <f>'BS76'!C47</f>
        <v>5863</v>
      </c>
      <c r="F48" s="405"/>
      <c r="G48" s="405"/>
      <c r="H48" s="405">
        <f t="shared" si="3"/>
        <v>0</v>
      </c>
      <c r="I48" s="405"/>
      <c r="J48" s="405"/>
      <c r="K48" s="405"/>
    </row>
    <row r="49" spans="1:11" ht="15.75">
      <c r="A49" s="401">
        <f>'BS76'!A48</f>
        <v>39</v>
      </c>
      <c r="B49" s="404" t="str">
        <f>'BS76'!B48</f>
        <v>Trường Mầm non Kim Đồng</v>
      </c>
      <c r="C49" s="405">
        <f t="shared" si="2"/>
        <v>6311</v>
      </c>
      <c r="D49" s="405"/>
      <c r="E49" s="405">
        <f>'BS76'!C48</f>
        <v>6311</v>
      </c>
      <c r="F49" s="405"/>
      <c r="G49" s="405"/>
      <c r="H49" s="405">
        <f t="shared" si="3"/>
        <v>0</v>
      </c>
      <c r="I49" s="405"/>
      <c r="J49" s="405"/>
      <c r="K49" s="405"/>
    </row>
    <row r="50" spans="1:11" ht="15.75">
      <c r="A50" s="401">
        <f>'BS76'!A49</f>
        <v>40</v>
      </c>
      <c r="B50" s="404" t="str">
        <f>'BS76'!B49</f>
        <v>Trường Mầm non Bông Hồng</v>
      </c>
      <c r="C50" s="405">
        <f t="shared" si="2"/>
        <v>5883</v>
      </c>
      <c r="D50" s="405"/>
      <c r="E50" s="405">
        <f>'BS76'!C49</f>
        <v>5883</v>
      </c>
      <c r="F50" s="405"/>
      <c r="G50" s="405"/>
      <c r="H50" s="405">
        <f t="shared" si="3"/>
        <v>0</v>
      </c>
      <c r="I50" s="405"/>
      <c r="J50" s="405"/>
      <c r="K50" s="405"/>
    </row>
    <row r="51" spans="1:11" ht="15.75">
      <c r="A51" s="401">
        <f>'BS76'!A50</f>
        <v>41</v>
      </c>
      <c r="B51" s="404" t="str">
        <f>'BS76'!B50</f>
        <v>Trường Mầm non Bé Ngoan</v>
      </c>
      <c r="C51" s="405">
        <f t="shared" si="2"/>
        <v>5376</v>
      </c>
      <c r="D51" s="405"/>
      <c r="E51" s="405">
        <f>'BS76'!C50</f>
        <v>5376</v>
      </c>
      <c r="F51" s="405"/>
      <c r="G51" s="405"/>
      <c r="H51" s="405">
        <f t="shared" si="3"/>
        <v>0</v>
      </c>
      <c r="I51" s="405"/>
      <c r="J51" s="405"/>
      <c r="K51" s="405"/>
    </row>
    <row r="52" spans="1:11" ht="15.75">
      <c r="A52" s="401">
        <f>'BS76'!A51</f>
        <v>42</v>
      </c>
      <c r="B52" s="404" t="str">
        <f>'BS76'!B51</f>
        <v>Trường Mầm non Hoa Phượng</v>
      </c>
      <c r="C52" s="405">
        <f t="shared" si="2"/>
        <v>6063</v>
      </c>
      <c r="D52" s="405"/>
      <c r="E52" s="405">
        <f>'BS76'!C51</f>
        <v>6063</v>
      </c>
      <c r="F52" s="405"/>
      <c r="G52" s="405"/>
      <c r="H52" s="405">
        <f t="shared" si="3"/>
        <v>0</v>
      </c>
      <c r="I52" s="405"/>
      <c r="J52" s="405"/>
      <c r="K52" s="405"/>
    </row>
    <row r="53" spans="1:11" ht="15.75">
      <c r="A53" s="401">
        <f>'BS76'!A52</f>
        <v>43</v>
      </c>
      <c r="B53" s="404" t="str">
        <f>'BS76'!B52</f>
        <v>Trường Mầm non Bông Sen</v>
      </c>
      <c r="C53" s="405">
        <f t="shared" si="2"/>
        <v>7179</v>
      </c>
      <c r="D53" s="405"/>
      <c r="E53" s="405">
        <f>'BS76'!C52</f>
        <v>7179</v>
      </c>
      <c r="F53" s="405"/>
      <c r="G53" s="405"/>
      <c r="H53" s="405">
        <f t="shared" si="3"/>
        <v>0</v>
      </c>
      <c r="I53" s="405"/>
      <c r="J53" s="405"/>
      <c r="K53" s="405"/>
    </row>
    <row r="54" spans="1:11" ht="15.75">
      <c r="A54" s="401">
        <f>'BS76'!A53</f>
        <v>44</v>
      </c>
      <c r="B54" s="404" t="str">
        <f>'BS76'!B53</f>
        <v>Trường Tiểu học Nguyễn Trực</v>
      </c>
      <c r="C54" s="405">
        <f t="shared" si="2"/>
        <v>6477</v>
      </c>
      <c r="D54" s="405"/>
      <c r="E54" s="405">
        <f>'BS76'!C53</f>
        <v>6477</v>
      </c>
      <c r="F54" s="405"/>
      <c r="G54" s="405"/>
      <c r="H54" s="405">
        <f t="shared" si="3"/>
        <v>0</v>
      </c>
      <c r="I54" s="405"/>
      <c r="J54" s="405"/>
      <c r="K54" s="405"/>
    </row>
    <row r="55" spans="1:11" ht="15.75">
      <c r="A55" s="401">
        <f>'BS76'!A54</f>
        <v>45</v>
      </c>
      <c r="B55" s="404" t="str">
        <f>'BS76'!B54</f>
        <v>Trường Tiểu học Rạch Ông</v>
      </c>
      <c r="C55" s="405">
        <f t="shared" si="2"/>
        <v>7382</v>
      </c>
      <c r="D55" s="405"/>
      <c r="E55" s="405">
        <f>'BS76'!C54</f>
        <v>7382</v>
      </c>
      <c r="F55" s="405"/>
      <c r="G55" s="405"/>
      <c r="H55" s="405">
        <f t="shared" si="3"/>
        <v>0</v>
      </c>
      <c r="I55" s="405"/>
      <c r="J55" s="405"/>
      <c r="K55" s="405"/>
    </row>
    <row r="56" spans="1:11" ht="15.75">
      <c r="A56" s="401">
        <f>'BS76'!A55</f>
        <v>46</v>
      </c>
      <c r="B56" s="404" t="str">
        <f>'BS76'!B55</f>
        <v>Trường Tiểu học Âu Dương Lân</v>
      </c>
      <c r="C56" s="405">
        <f t="shared" si="2"/>
        <v>17672</v>
      </c>
      <c r="D56" s="405"/>
      <c r="E56" s="405">
        <f>'BS76'!C55</f>
        <v>17672</v>
      </c>
      <c r="F56" s="405"/>
      <c r="G56" s="405"/>
      <c r="H56" s="405">
        <f t="shared" si="3"/>
        <v>0</v>
      </c>
      <c r="I56" s="405"/>
      <c r="J56" s="405"/>
      <c r="K56" s="405"/>
    </row>
    <row r="57" spans="1:11" ht="15.75">
      <c r="A57" s="401">
        <f>'BS76'!A56</f>
        <v>47</v>
      </c>
      <c r="B57" s="404" t="str">
        <f>'BS76'!B56</f>
        <v>Trường Tiểu học Vàm Cỏ Đông</v>
      </c>
      <c r="C57" s="405">
        <f t="shared" si="2"/>
        <v>9728</v>
      </c>
      <c r="D57" s="405"/>
      <c r="E57" s="405">
        <f>'BS76'!C56</f>
        <v>9728</v>
      </c>
      <c r="F57" s="405"/>
      <c r="G57" s="405"/>
      <c r="H57" s="405">
        <f t="shared" si="3"/>
        <v>0</v>
      </c>
      <c r="I57" s="405"/>
      <c r="J57" s="405"/>
      <c r="K57" s="405"/>
    </row>
    <row r="58" spans="1:11" ht="15.75">
      <c r="A58" s="401">
        <f>'BS76'!A57</f>
        <v>48</v>
      </c>
      <c r="B58" s="404" t="str">
        <f>'BS76'!B57</f>
        <v>Trường Tiểu học Thái Hưng</v>
      </c>
      <c r="C58" s="405">
        <f t="shared" si="2"/>
        <v>8766</v>
      </c>
      <c r="D58" s="405"/>
      <c r="E58" s="405">
        <f>'BS76'!C57</f>
        <v>8766</v>
      </c>
      <c r="F58" s="405"/>
      <c r="G58" s="405"/>
      <c r="H58" s="405">
        <f t="shared" si="3"/>
        <v>0</v>
      </c>
      <c r="I58" s="405"/>
      <c r="J58" s="405"/>
      <c r="K58" s="405"/>
    </row>
    <row r="59" spans="1:11" ht="15.75">
      <c r="A59" s="401">
        <f>'BS76'!A58</f>
        <v>49</v>
      </c>
      <c r="B59" s="404" t="str">
        <f>'BS76'!B58</f>
        <v>Trường Tiểu học Hoàng Minh Đạo</v>
      </c>
      <c r="C59" s="405">
        <f t="shared" si="2"/>
        <v>8568</v>
      </c>
      <c r="D59" s="405"/>
      <c r="E59" s="405">
        <f>'BS76'!C58</f>
        <v>8568</v>
      </c>
      <c r="F59" s="405"/>
      <c r="G59" s="405"/>
      <c r="H59" s="405">
        <f t="shared" si="3"/>
        <v>0</v>
      </c>
      <c r="I59" s="405"/>
      <c r="J59" s="405"/>
      <c r="K59" s="405"/>
    </row>
    <row r="60" spans="1:11" ht="15.75">
      <c r="A60" s="401">
        <f>'BS76'!A59</f>
        <v>50</v>
      </c>
      <c r="B60" s="404" t="str">
        <f>'BS76'!B59</f>
        <v>Trường Tiểu học Bông Sao</v>
      </c>
      <c r="C60" s="405">
        <f t="shared" si="2"/>
        <v>16730</v>
      </c>
      <c r="D60" s="405"/>
      <c r="E60" s="405">
        <f>'BS76'!C59</f>
        <v>16730</v>
      </c>
      <c r="F60" s="405"/>
      <c r="G60" s="405"/>
      <c r="H60" s="405">
        <f t="shared" si="3"/>
        <v>0</v>
      </c>
      <c r="I60" s="405"/>
      <c r="J60" s="405"/>
      <c r="K60" s="405"/>
    </row>
    <row r="61" spans="1:11" ht="15.75">
      <c r="A61" s="401">
        <f>'BS76'!A60</f>
        <v>51</v>
      </c>
      <c r="B61" s="404" t="str">
        <f>'BS76'!B60</f>
        <v>Trường Tiểu học Phan Đăng Lưu </v>
      </c>
      <c r="C61" s="405">
        <f t="shared" si="2"/>
        <v>9732</v>
      </c>
      <c r="D61" s="405"/>
      <c r="E61" s="405">
        <f>'BS76'!C60</f>
        <v>9732</v>
      </c>
      <c r="F61" s="405"/>
      <c r="G61" s="405"/>
      <c r="H61" s="405">
        <f t="shared" si="3"/>
        <v>0</v>
      </c>
      <c r="I61" s="405"/>
      <c r="J61" s="405"/>
      <c r="K61" s="405"/>
    </row>
    <row r="62" spans="1:11" ht="15.75">
      <c r="A62" s="401">
        <f>'BS76'!A61</f>
        <v>52</v>
      </c>
      <c r="B62" s="404" t="str">
        <f>'BS76'!B61</f>
        <v>Trường Tiểu học Bùi Minh Trực</v>
      </c>
      <c r="C62" s="405">
        <f t="shared" si="2"/>
        <v>7437</v>
      </c>
      <c r="D62" s="405"/>
      <c r="E62" s="405">
        <f>'BS76'!C61</f>
        <v>7437</v>
      </c>
      <c r="F62" s="405"/>
      <c r="G62" s="405"/>
      <c r="H62" s="405">
        <f t="shared" si="3"/>
        <v>0</v>
      </c>
      <c r="I62" s="405"/>
      <c r="J62" s="405"/>
      <c r="K62" s="405"/>
    </row>
    <row r="63" spans="1:11" ht="15.75">
      <c r="A63" s="401">
        <f>'BS76'!A62</f>
        <v>53</v>
      </c>
      <c r="B63" s="404" t="str">
        <f>'BS76'!B62</f>
        <v>Trường Tiểu học Nguyễn Trung Ngạn</v>
      </c>
      <c r="C63" s="405">
        <f t="shared" si="2"/>
        <v>9768</v>
      </c>
      <c r="D63" s="405"/>
      <c r="E63" s="405">
        <f>'BS76'!C62</f>
        <v>9768</v>
      </c>
      <c r="F63" s="405"/>
      <c r="G63" s="405"/>
      <c r="H63" s="405">
        <f t="shared" si="3"/>
        <v>0</v>
      </c>
      <c r="I63" s="405"/>
      <c r="J63" s="405"/>
      <c r="K63" s="405"/>
    </row>
    <row r="64" spans="1:11" ht="15.75">
      <c r="A64" s="401">
        <f>'BS76'!A63</f>
        <v>54</v>
      </c>
      <c r="B64" s="404" t="str">
        <f>'BS76'!B63</f>
        <v>Trường Tiểu học An Phong</v>
      </c>
      <c r="C64" s="405">
        <f t="shared" si="2"/>
        <v>8780</v>
      </c>
      <c r="D64" s="405"/>
      <c r="E64" s="405">
        <f>'BS76'!C63</f>
        <v>8780</v>
      </c>
      <c r="F64" s="405"/>
      <c r="G64" s="405"/>
      <c r="H64" s="405">
        <f t="shared" si="3"/>
        <v>0</v>
      </c>
      <c r="I64" s="405"/>
      <c r="J64" s="405"/>
      <c r="K64" s="405"/>
    </row>
    <row r="65" spans="1:11" ht="15.75">
      <c r="A65" s="401">
        <f>'BS76'!A64</f>
        <v>55</v>
      </c>
      <c r="B65" s="404" t="str">
        <f>'BS76'!B64</f>
        <v>Trường Tiểu học Trần Danh Lâm</v>
      </c>
      <c r="C65" s="405">
        <f t="shared" si="2"/>
        <v>10041</v>
      </c>
      <c r="D65" s="405"/>
      <c r="E65" s="405">
        <f>'BS76'!C64</f>
        <v>10041</v>
      </c>
      <c r="F65" s="405"/>
      <c r="G65" s="405"/>
      <c r="H65" s="405">
        <f t="shared" si="3"/>
        <v>0</v>
      </c>
      <c r="I65" s="405"/>
      <c r="J65" s="405"/>
      <c r="K65" s="405"/>
    </row>
    <row r="66" spans="1:11" ht="15.75">
      <c r="A66" s="401">
        <f>'BS76'!A65</f>
        <v>56</v>
      </c>
      <c r="B66" s="404" t="str">
        <f>'BS76'!B65</f>
        <v>Trường Tiểu học Lý Nhân Tông</v>
      </c>
      <c r="C66" s="405">
        <f t="shared" si="2"/>
        <v>6774</v>
      </c>
      <c r="D66" s="405"/>
      <c r="E66" s="405">
        <f>'BS76'!C65</f>
        <v>6774</v>
      </c>
      <c r="F66" s="405"/>
      <c r="G66" s="405"/>
      <c r="H66" s="405">
        <f t="shared" si="3"/>
        <v>0</v>
      </c>
      <c r="I66" s="405"/>
      <c r="J66" s="405"/>
      <c r="K66" s="405"/>
    </row>
    <row r="67" spans="1:11" ht="15.75">
      <c r="A67" s="401">
        <f>'BS76'!A66</f>
        <v>57</v>
      </c>
      <c r="B67" s="404" t="str">
        <f>'BS76'!B66</f>
        <v>Trường Tiểu học Hưng Phú</v>
      </c>
      <c r="C67" s="405">
        <f t="shared" si="2"/>
        <v>8848</v>
      </c>
      <c r="D67" s="405"/>
      <c r="E67" s="405">
        <f>'BS76'!C66</f>
        <v>8848</v>
      </c>
      <c r="F67" s="405"/>
      <c r="G67" s="405"/>
      <c r="H67" s="405">
        <f t="shared" si="3"/>
        <v>0</v>
      </c>
      <c r="I67" s="405"/>
      <c r="J67" s="405"/>
      <c r="K67" s="405"/>
    </row>
    <row r="68" spans="1:11" ht="15.75">
      <c r="A68" s="401">
        <f>'BS76'!A67</f>
        <v>58</v>
      </c>
      <c r="B68" s="404" t="str">
        <f>'BS76'!B67</f>
        <v>Trường Tiểu học Lý Thái Tổ</v>
      </c>
      <c r="C68" s="405">
        <f t="shared" si="2"/>
        <v>4686</v>
      </c>
      <c r="D68" s="405"/>
      <c r="E68" s="405">
        <f>'BS76'!C67</f>
        <v>4686</v>
      </c>
      <c r="F68" s="405"/>
      <c r="G68" s="405"/>
      <c r="H68" s="405">
        <f t="shared" si="3"/>
        <v>0</v>
      </c>
      <c r="I68" s="405"/>
      <c r="J68" s="405"/>
      <c r="K68" s="405"/>
    </row>
    <row r="69" spans="1:11" ht="15.75">
      <c r="A69" s="401">
        <f>'BS76'!A68</f>
        <v>59</v>
      </c>
      <c r="B69" s="404" t="str">
        <f>'BS76'!B68</f>
        <v>Trường Tiểu học Tuy Lý Vương</v>
      </c>
      <c r="C69" s="405">
        <f t="shared" si="2"/>
        <v>13295</v>
      </c>
      <c r="D69" s="405"/>
      <c r="E69" s="405">
        <f>'BS76'!C68</f>
        <v>13295</v>
      </c>
      <c r="F69" s="405"/>
      <c r="G69" s="405"/>
      <c r="H69" s="405">
        <f t="shared" si="3"/>
        <v>0</v>
      </c>
      <c r="I69" s="405"/>
      <c r="J69" s="405"/>
      <c r="K69" s="405"/>
    </row>
    <row r="70" spans="1:11" ht="15.75">
      <c r="A70" s="401">
        <f>'BS76'!A69</f>
        <v>60</v>
      </c>
      <c r="B70" s="404" t="str">
        <f>'BS76'!B69</f>
        <v>Trường Tiểu học Trần Nguyên Hãn</v>
      </c>
      <c r="C70" s="405">
        <f t="shared" si="2"/>
        <v>11437</v>
      </c>
      <c r="D70" s="405"/>
      <c r="E70" s="405">
        <f>'BS76'!C69</f>
        <v>11437</v>
      </c>
      <c r="F70" s="405"/>
      <c r="G70" s="405"/>
      <c r="H70" s="405">
        <f t="shared" si="3"/>
        <v>0</v>
      </c>
      <c r="I70" s="405"/>
      <c r="J70" s="405"/>
      <c r="K70" s="405"/>
    </row>
    <row r="71" spans="1:11" ht="15.75">
      <c r="A71" s="401">
        <f>'BS76'!A70</f>
        <v>61</v>
      </c>
      <c r="B71" s="404" t="str">
        <f>'BS76'!B70</f>
        <v>Trường Tiểu học Hồng Đức</v>
      </c>
      <c r="C71" s="405">
        <f t="shared" si="2"/>
        <v>6459</v>
      </c>
      <c r="D71" s="405"/>
      <c r="E71" s="405">
        <f>'BS76'!C70</f>
        <v>6459</v>
      </c>
      <c r="F71" s="405"/>
      <c r="G71" s="405"/>
      <c r="H71" s="405">
        <f t="shared" si="3"/>
        <v>0</v>
      </c>
      <c r="I71" s="405"/>
      <c r="J71" s="405"/>
      <c r="K71" s="405"/>
    </row>
    <row r="72" spans="1:11" ht="15.75">
      <c r="A72" s="401">
        <f>'BS76'!A71</f>
        <v>62</v>
      </c>
      <c r="B72" s="404" t="str">
        <f>'BS76'!B71</f>
        <v>Trường Tiểu học Nguyễn Nhược Thị</v>
      </c>
      <c r="C72" s="405">
        <f t="shared" si="2"/>
        <v>10872</v>
      </c>
      <c r="D72" s="405"/>
      <c r="E72" s="405">
        <f>'BS76'!C71</f>
        <v>10872</v>
      </c>
      <c r="F72" s="405"/>
      <c r="G72" s="405"/>
      <c r="H72" s="405">
        <f t="shared" si="3"/>
        <v>0</v>
      </c>
      <c r="I72" s="405"/>
      <c r="J72" s="405"/>
      <c r="K72" s="405"/>
    </row>
    <row r="73" spans="1:11" ht="15.75">
      <c r="A73" s="401">
        <f>'BS76'!A72</f>
        <v>63</v>
      </c>
      <c r="B73" s="404" t="str">
        <f>'BS76'!B72</f>
        <v>Trường Tiểu học Lưu Hữu Phước</v>
      </c>
      <c r="C73" s="405">
        <f t="shared" si="2"/>
        <v>7478</v>
      </c>
      <c r="D73" s="405"/>
      <c r="E73" s="405">
        <f>'BS76'!C72</f>
        <v>7478</v>
      </c>
      <c r="F73" s="405"/>
      <c r="G73" s="405"/>
      <c r="H73" s="405">
        <f t="shared" si="3"/>
        <v>0</v>
      </c>
      <c r="I73" s="405"/>
      <c r="J73" s="405"/>
      <c r="K73" s="405"/>
    </row>
    <row r="74" spans="1:11" ht="15.75">
      <c r="A74" s="401">
        <f>'BS76'!A73</f>
        <v>64</v>
      </c>
      <c r="B74" s="404" t="str">
        <f>'BS76'!B73</f>
        <v>Trường Tiểu học Nguyễn Công Trứ</v>
      </c>
      <c r="C74" s="405">
        <f t="shared" si="2"/>
        <v>12900</v>
      </c>
      <c r="D74" s="405"/>
      <c r="E74" s="405">
        <f>'BS76'!C73</f>
        <v>12900</v>
      </c>
      <c r="F74" s="405"/>
      <c r="G74" s="405"/>
      <c r="H74" s="405">
        <f t="shared" si="3"/>
        <v>0</v>
      </c>
      <c r="I74" s="405"/>
      <c r="J74" s="405"/>
      <c r="K74" s="405"/>
    </row>
    <row r="75" spans="1:11" ht="15.75">
      <c r="A75" s="401">
        <f>'BS76'!A74</f>
        <v>65</v>
      </c>
      <c r="B75" s="404" t="str">
        <f>'BS76'!B74</f>
        <v>Trường Hy Vọng</v>
      </c>
      <c r="C75" s="405">
        <f aca="true" t="shared" si="4" ref="C75:C127">SUM(D75:H75,K75)</f>
        <v>2905</v>
      </c>
      <c r="D75" s="405"/>
      <c r="E75" s="405">
        <f>'BS76'!C74</f>
        <v>2905</v>
      </c>
      <c r="F75" s="405"/>
      <c r="G75" s="405"/>
      <c r="H75" s="405">
        <f aca="true" t="shared" si="5" ref="H75:H123">SUM(I75:J75)</f>
        <v>0</v>
      </c>
      <c r="I75" s="405"/>
      <c r="J75" s="405"/>
      <c r="K75" s="405"/>
    </row>
    <row r="76" spans="1:11" ht="15.75">
      <c r="A76" s="401">
        <f>'BS76'!A75</f>
        <v>66</v>
      </c>
      <c r="B76" s="404" t="str">
        <f>'BS76'!B75</f>
        <v>Trường THCS Dương Bá Trạc</v>
      </c>
      <c r="C76" s="405">
        <f t="shared" si="4"/>
        <v>12860</v>
      </c>
      <c r="D76" s="405"/>
      <c r="E76" s="405">
        <f>'BS76'!C75</f>
        <v>12860</v>
      </c>
      <c r="F76" s="405"/>
      <c r="G76" s="405"/>
      <c r="H76" s="405">
        <f t="shared" si="5"/>
        <v>0</v>
      </c>
      <c r="I76" s="405"/>
      <c r="J76" s="405"/>
      <c r="K76" s="405"/>
    </row>
    <row r="77" spans="1:11" ht="15.75">
      <c r="A77" s="401">
        <f>'BS76'!A76</f>
        <v>67</v>
      </c>
      <c r="B77" s="404" t="str">
        <f>'BS76'!B76</f>
        <v>Trường THCS Khánh Bình</v>
      </c>
      <c r="C77" s="405">
        <f t="shared" si="4"/>
        <v>7333</v>
      </c>
      <c r="D77" s="405"/>
      <c r="E77" s="405">
        <f>'BS76'!C76</f>
        <v>7333</v>
      </c>
      <c r="F77" s="405"/>
      <c r="G77" s="405"/>
      <c r="H77" s="405">
        <f t="shared" si="5"/>
        <v>0</v>
      </c>
      <c r="I77" s="405"/>
      <c r="J77" s="405"/>
      <c r="K77" s="405"/>
    </row>
    <row r="78" spans="1:11" ht="15.75">
      <c r="A78" s="401">
        <f>'BS76'!A77</f>
        <v>68</v>
      </c>
      <c r="B78" s="404" t="str">
        <f>'BS76'!B77</f>
        <v>Trường THCS Chánh Hưng</v>
      </c>
      <c r="C78" s="405">
        <f t="shared" si="4"/>
        <v>21940</v>
      </c>
      <c r="D78" s="405"/>
      <c r="E78" s="405">
        <f>'BS76'!C77</f>
        <v>21940</v>
      </c>
      <c r="F78" s="405"/>
      <c r="G78" s="405"/>
      <c r="H78" s="405">
        <f t="shared" si="5"/>
        <v>0</v>
      </c>
      <c r="I78" s="405"/>
      <c r="J78" s="405"/>
      <c r="K78" s="405"/>
    </row>
    <row r="79" spans="1:11" ht="15.75">
      <c r="A79" s="401">
        <f>'BS76'!A78</f>
        <v>69</v>
      </c>
      <c r="B79" s="404" t="str">
        <f>'BS76'!B78</f>
        <v>Trường THCS Sương Nguyệt Anh</v>
      </c>
      <c r="C79" s="405">
        <f t="shared" si="4"/>
        <v>11897</v>
      </c>
      <c r="D79" s="405"/>
      <c r="E79" s="405">
        <f>'BS76'!C78</f>
        <v>11897</v>
      </c>
      <c r="F79" s="405"/>
      <c r="G79" s="405"/>
      <c r="H79" s="405">
        <f t="shared" si="5"/>
        <v>0</v>
      </c>
      <c r="I79" s="405"/>
      <c r="J79" s="405"/>
      <c r="K79" s="405"/>
    </row>
    <row r="80" spans="1:11" ht="15.75">
      <c r="A80" s="401">
        <f>'BS76'!A79</f>
        <v>70</v>
      </c>
      <c r="B80" s="404" t="str">
        <f>'BS76'!B79</f>
        <v>Trường THCS Phan Đăng Lưu </v>
      </c>
      <c r="C80" s="405">
        <f t="shared" si="4"/>
        <v>8241</v>
      </c>
      <c r="D80" s="405"/>
      <c r="E80" s="405">
        <f>'BS76'!C79</f>
        <v>8241</v>
      </c>
      <c r="F80" s="405"/>
      <c r="G80" s="405"/>
      <c r="H80" s="405">
        <f t="shared" si="5"/>
        <v>0</v>
      </c>
      <c r="I80" s="405"/>
      <c r="J80" s="405"/>
      <c r="K80" s="405"/>
    </row>
    <row r="81" spans="1:11" ht="15.75">
      <c r="A81" s="401">
        <f>'BS76'!A80</f>
        <v>71</v>
      </c>
      <c r="B81" s="404" t="str">
        <f>'BS76'!B80</f>
        <v>Trường THCS Tùng Thiện Vương</v>
      </c>
      <c r="C81" s="405">
        <f t="shared" si="4"/>
        <v>18997</v>
      </c>
      <c r="D81" s="405"/>
      <c r="E81" s="405">
        <f>'BS76'!C80</f>
        <v>18997</v>
      </c>
      <c r="F81" s="405"/>
      <c r="G81" s="405"/>
      <c r="H81" s="405">
        <f t="shared" si="5"/>
        <v>0</v>
      </c>
      <c r="I81" s="405"/>
      <c r="J81" s="405"/>
      <c r="K81" s="405"/>
    </row>
    <row r="82" spans="1:11" ht="15.75">
      <c r="A82" s="401">
        <f>'BS76'!A81</f>
        <v>72</v>
      </c>
      <c r="B82" s="404" t="str">
        <f>'BS76'!B81</f>
        <v>Trường THCS Lê Lai</v>
      </c>
      <c r="C82" s="405">
        <f t="shared" si="4"/>
        <v>13707</v>
      </c>
      <c r="D82" s="405"/>
      <c r="E82" s="405">
        <f>'BS76'!C81</f>
        <v>13707</v>
      </c>
      <c r="F82" s="405"/>
      <c r="G82" s="405"/>
      <c r="H82" s="405">
        <f t="shared" si="5"/>
        <v>0</v>
      </c>
      <c r="I82" s="405"/>
      <c r="J82" s="405"/>
      <c r="K82" s="405"/>
    </row>
    <row r="83" spans="1:11" ht="15.75">
      <c r="A83" s="401">
        <f>'BS76'!A82</f>
        <v>73</v>
      </c>
      <c r="B83" s="404" t="str">
        <f>'BS76'!B82</f>
        <v>Trường THCS Trần Danh Ninh</v>
      </c>
      <c r="C83" s="405">
        <f t="shared" si="4"/>
        <v>6203</v>
      </c>
      <c r="D83" s="405"/>
      <c r="E83" s="405">
        <f>'BS76'!C82</f>
        <v>6203</v>
      </c>
      <c r="F83" s="405"/>
      <c r="G83" s="405"/>
      <c r="H83" s="405">
        <f t="shared" si="5"/>
        <v>0</v>
      </c>
      <c r="I83" s="405"/>
      <c r="J83" s="405"/>
      <c r="K83" s="405"/>
    </row>
    <row r="84" spans="1:11" ht="15.75">
      <c r="A84" s="401">
        <f>'BS76'!A83</f>
        <v>74</v>
      </c>
      <c r="B84" s="404" t="str">
        <f>'BS76'!B83</f>
        <v>Trường THCS Bình An</v>
      </c>
      <c r="C84" s="405">
        <f t="shared" si="4"/>
        <v>12288</v>
      </c>
      <c r="D84" s="405"/>
      <c r="E84" s="405">
        <f>'BS76'!C83</f>
        <v>12288</v>
      </c>
      <c r="F84" s="405"/>
      <c r="G84" s="405"/>
      <c r="H84" s="405">
        <f t="shared" si="5"/>
        <v>0</v>
      </c>
      <c r="I84" s="405"/>
      <c r="J84" s="405"/>
      <c r="K84" s="405"/>
    </row>
    <row r="85" spans="1:11" ht="15.75">
      <c r="A85" s="401">
        <f>'BS76'!A84</f>
        <v>75</v>
      </c>
      <c r="B85" s="404" t="str">
        <f>'BS76'!B84</f>
        <v>Trường THCS Bình Đông</v>
      </c>
      <c r="C85" s="405">
        <f t="shared" si="4"/>
        <v>12906</v>
      </c>
      <c r="D85" s="405"/>
      <c r="E85" s="405">
        <f>'BS76'!C84</f>
        <v>12906</v>
      </c>
      <c r="F85" s="405"/>
      <c r="G85" s="405"/>
      <c r="H85" s="405">
        <f t="shared" si="5"/>
        <v>0</v>
      </c>
      <c r="I85" s="405"/>
      <c r="J85" s="405"/>
      <c r="K85" s="405"/>
    </row>
    <row r="86" spans="1:11" ht="15.75">
      <c r="A86" s="401">
        <f>'BS76'!A85</f>
        <v>76</v>
      </c>
      <c r="B86" s="404" t="str">
        <f>'BS76'!B85</f>
        <v>Trường THCS Lý Thánh Tông</v>
      </c>
      <c r="C86" s="405">
        <f t="shared" si="4"/>
        <v>12335</v>
      </c>
      <c r="D86" s="405"/>
      <c r="E86" s="405">
        <f>'BS76'!C85</f>
        <v>12335</v>
      </c>
      <c r="F86" s="405"/>
      <c r="G86" s="405"/>
      <c r="H86" s="405">
        <f t="shared" si="5"/>
        <v>0</v>
      </c>
      <c r="I86" s="405"/>
      <c r="J86" s="405"/>
      <c r="K86" s="405"/>
    </row>
    <row r="87" spans="1:11" ht="15.75">
      <c r="A87" s="401">
        <f>'BS76'!A86</f>
        <v>77</v>
      </c>
      <c r="B87" s="404" t="str">
        <f>'BS76'!B86</f>
        <v>Trường THCS Phú Lợi</v>
      </c>
      <c r="C87" s="405">
        <f t="shared" si="4"/>
        <v>4616</v>
      </c>
      <c r="D87" s="405"/>
      <c r="E87" s="405">
        <f>'BS76'!C86</f>
        <v>4616</v>
      </c>
      <c r="F87" s="405"/>
      <c r="G87" s="405"/>
      <c r="H87" s="405">
        <f t="shared" si="5"/>
        <v>0</v>
      </c>
      <c r="I87" s="405"/>
      <c r="J87" s="405"/>
      <c r="K87" s="405"/>
    </row>
    <row r="88" spans="1:11" ht="15.75">
      <c r="A88" s="401">
        <f>'BS76'!A87</f>
        <v>78</v>
      </c>
      <c r="B88" s="404" t="str">
        <f>'BS76'!B87</f>
        <v>Trường BDNV giáo dục</v>
      </c>
      <c r="C88" s="405">
        <f t="shared" si="4"/>
        <v>4072</v>
      </c>
      <c r="D88" s="405"/>
      <c r="E88" s="405">
        <f>'BS76'!C87</f>
        <v>4072</v>
      </c>
      <c r="F88" s="405"/>
      <c r="G88" s="405"/>
      <c r="H88" s="405">
        <f t="shared" si="5"/>
        <v>0</v>
      </c>
      <c r="I88" s="405"/>
      <c r="J88" s="405"/>
      <c r="K88" s="405"/>
    </row>
    <row r="89" spans="1:11" ht="15.75">
      <c r="A89" s="401">
        <v>79</v>
      </c>
      <c r="B89" s="404" t="str">
        <f>'BS76'!B88</f>
        <v>Trung tâm GD nghề nghiệp - GDTX</v>
      </c>
      <c r="C89" s="405">
        <f t="shared" si="4"/>
        <v>6415</v>
      </c>
      <c r="D89" s="405"/>
      <c r="E89" s="405">
        <f>'BS76'!C88</f>
        <v>6415</v>
      </c>
      <c r="F89" s="405"/>
      <c r="G89" s="405"/>
      <c r="H89" s="405"/>
      <c r="I89" s="405"/>
      <c r="J89" s="405"/>
      <c r="K89" s="405"/>
    </row>
    <row r="90" spans="1:11" ht="15.75">
      <c r="A90" s="401">
        <v>80</v>
      </c>
      <c r="B90" s="404" t="str">
        <f>'BS76'!B89</f>
        <v>Hội Khuyến học</v>
      </c>
      <c r="C90" s="405">
        <f t="shared" si="4"/>
        <v>234</v>
      </c>
      <c r="D90" s="405"/>
      <c r="E90" s="405">
        <f>'BS76'!C89</f>
        <v>234</v>
      </c>
      <c r="F90" s="405"/>
      <c r="G90" s="405"/>
      <c r="H90" s="405">
        <f t="shared" si="5"/>
        <v>0</v>
      </c>
      <c r="I90" s="405"/>
      <c r="J90" s="405"/>
      <c r="K90" s="405"/>
    </row>
    <row r="91" spans="1:11" ht="15.75">
      <c r="A91" s="401">
        <f>'BS76'!A90</f>
        <v>81</v>
      </c>
      <c r="B91" s="404" t="str">
        <f>'BS76'!B90</f>
        <v>Hội Đông y</v>
      </c>
      <c r="C91" s="405">
        <f t="shared" si="4"/>
        <v>64</v>
      </c>
      <c r="D91" s="405"/>
      <c r="E91" s="405">
        <f>'BS76'!C90</f>
        <v>64</v>
      </c>
      <c r="F91" s="405"/>
      <c r="G91" s="405"/>
      <c r="H91" s="405">
        <f t="shared" si="5"/>
        <v>0</v>
      </c>
      <c r="I91" s="405"/>
      <c r="J91" s="405"/>
      <c r="K91" s="405"/>
    </row>
    <row r="92" spans="1:11" ht="15.75">
      <c r="A92" s="401">
        <f>'BS76'!A91</f>
        <v>82</v>
      </c>
      <c r="B92" s="404" t="str">
        <f>'BS76'!B91</f>
        <v>Hội Luật gia</v>
      </c>
      <c r="C92" s="405">
        <f t="shared" si="4"/>
        <v>263</v>
      </c>
      <c r="D92" s="405"/>
      <c r="E92" s="405">
        <f>'BS76'!C91</f>
        <v>263</v>
      </c>
      <c r="F92" s="405"/>
      <c r="G92" s="405"/>
      <c r="H92" s="405">
        <f t="shared" si="5"/>
        <v>0</v>
      </c>
      <c r="I92" s="405"/>
      <c r="J92" s="405"/>
      <c r="K92" s="405"/>
    </row>
    <row r="93" spans="1:11" ht="15.75">
      <c r="A93" s="401">
        <f>'BS76'!A92</f>
        <v>83</v>
      </c>
      <c r="B93" s="404" t="str">
        <f>'BS76'!B92</f>
        <v>Hội Cựu thanh niên xung phong</v>
      </c>
      <c r="C93" s="405">
        <f t="shared" si="4"/>
        <v>180</v>
      </c>
      <c r="D93" s="405"/>
      <c r="E93" s="405">
        <f>'BS76'!C92</f>
        <v>180</v>
      </c>
      <c r="F93" s="405"/>
      <c r="G93" s="405"/>
      <c r="H93" s="405">
        <f t="shared" si="5"/>
        <v>0</v>
      </c>
      <c r="I93" s="405"/>
      <c r="J93" s="405"/>
      <c r="K93" s="405"/>
    </row>
    <row r="94" spans="1:11" ht="15.75">
      <c r="A94" s="401">
        <f>'BS76'!A93</f>
        <v>84</v>
      </c>
      <c r="B94" s="404" t="str">
        <f>'BS76'!B93</f>
        <v>Hội Người mù</v>
      </c>
      <c r="C94" s="405">
        <f t="shared" si="4"/>
        <v>75</v>
      </c>
      <c r="D94" s="405"/>
      <c r="E94" s="405">
        <f>'BS76'!C93</f>
        <v>75</v>
      </c>
      <c r="F94" s="405"/>
      <c r="G94" s="405"/>
      <c r="H94" s="405">
        <f t="shared" si="5"/>
        <v>0</v>
      </c>
      <c r="I94" s="405"/>
      <c r="J94" s="405"/>
      <c r="K94" s="405"/>
    </row>
    <row r="95" spans="1:11" ht="15.75">
      <c r="A95" s="401">
        <f>'BS76'!A94</f>
        <v>85</v>
      </c>
      <c r="B95" s="404" t="str">
        <f>'BS76'!B94</f>
        <v>Hội Cựu giáo chức</v>
      </c>
      <c r="C95" s="405">
        <f t="shared" si="4"/>
        <v>40</v>
      </c>
      <c r="D95" s="405"/>
      <c r="E95" s="405">
        <f>'BS76'!C94</f>
        <v>40</v>
      </c>
      <c r="F95" s="405"/>
      <c r="G95" s="405"/>
      <c r="H95" s="405">
        <f t="shared" si="5"/>
        <v>0</v>
      </c>
      <c r="I95" s="405"/>
      <c r="J95" s="405"/>
      <c r="K95" s="405"/>
    </row>
    <row r="96" spans="1:11" ht="15.75">
      <c r="A96" s="401">
        <f>'BS76'!A95</f>
        <v>86</v>
      </c>
      <c r="B96" s="404" t="str">
        <f>'BS76'!B95</f>
        <v>Bảo hiểm xã hội Quận 8</v>
      </c>
      <c r="C96" s="405">
        <f t="shared" si="4"/>
        <v>16912</v>
      </c>
      <c r="D96" s="405"/>
      <c r="E96" s="405">
        <f>'BS76'!C95</f>
        <v>16912</v>
      </c>
      <c r="F96" s="405"/>
      <c r="G96" s="405"/>
      <c r="H96" s="405">
        <f t="shared" si="5"/>
        <v>0</v>
      </c>
      <c r="I96" s="405"/>
      <c r="J96" s="405"/>
      <c r="K96" s="405"/>
    </row>
    <row r="97" spans="1:11" ht="15.75">
      <c r="A97" s="401">
        <f>'BS76'!A96</f>
        <v>87</v>
      </c>
      <c r="B97" s="404" t="str">
        <f>'BS76'!B96</f>
        <v>Tòa án nhân dân</v>
      </c>
      <c r="C97" s="405">
        <f t="shared" si="4"/>
        <v>648</v>
      </c>
      <c r="D97" s="405"/>
      <c r="E97" s="405">
        <f>'BS76'!C96</f>
        <v>648</v>
      </c>
      <c r="F97" s="405"/>
      <c r="G97" s="405"/>
      <c r="H97" s="405">
        <f t="shared" si="5"/>
        <v>0</v>
      </c>
      <c r="I97" s="405"/>
      <c r="J97" s="405"/>
      <c r="K97" s="405"/>
    </row>
    <row r="98" spans="1:11" ht="15.75">
      <c r="A98" s="401">
        <f>'BS76'!A97</f>
        <v>88</v>
      </c>
      <c r="B98" s="404" t="str">
        <f>'BS76'!B97</f>
        <v>Viện Kiểm sát nhân dân</v>
      </c>
      <c r="C98" s="405">
        <f t="shared" si="4"/>
        <v>522</v>
      </c>
      <c r="D98" s="405"/>
      <c r="E98" s="405">
        <f>'BS76'!C97</f>
        <v>522</v>
      </c>
      <c r="F98" s="405"/>
      <c r="G98" s="405"/>
      <c r="H98" s="405">
        <f t="shared" si="5"/>
        <v>0</v>
      </c>
      <c r="I98" s="405"/>
      <c r="J98" s="405"/>
      <c r="K98" s="405"/>
    </row>
    <row r="99" spans="1:11" ht="15.75">
      <c r="A99" s="401">
        <f>'BS76'!A98</f>
        <v>89</v>
      </c>
      <c r="B99" s="404" t="str">
        <f>'BS76'!B98</f>
        <v>Chi cục Thi hành án dân sự</v>
      </c>
      <c r="C99" s="405">
        <f t="shared" si="4"/>
        <v>486</v>
      </c>
      <c r="D99" s="405"/>
      <c r="E99" s="405">
        <f>'BS76'!C98</f>
        <v>486</v>
      </c>
      <c r="F99" s="405"/>
      <c r="G99" s="405"/>
      <c r="H99" s="405">
        <f t="shared" si="5"/>
        <v>0</v>
      </c>
      <c r="I99" s="405"/>
      <c r="J99" s="405"/>
      <c r="K99" s="405"/>
    </row>
    <row r="100" spans="1:11" ht="15.75">
      <c r="A100" s="401">
        <f>'BS76'!A99</f>
        <v>90</v>
      </c>
      <c r="B100" s="404" t="str">
        <f>'BS76'!B99</f>
        <v>Chi cục Thống kê</v>
      </c>
      <c r="C100" s="405">
        <f t="shared" si="4"/>
        <v>85</v>
      </c>
      <c r="D100" s="405"/>
      <c r="E100" s="405">
        <f>'BS76'!C99</f>
        <v>85</v>
      </c>
      <c r="F100" s="405"/>
      <c r="G100" s="405"/>
      <c r="H100" s="405">
        <f t="shared" si="5"/>
        <v>0</v>
      </c>
      <c r="I100" s="405"/>
      <c r="J100" s="405"/>
      <c r="K100" s="405"/>
    </row>
    <row r="101" spans="1:11" ht="15.75" hidden="1">
      <c r="A101" s="401">
        <f>'BS76'!A100</f>
        <v>0</v>
      </c>
      <c r="B101" s="404" t="str">
        <f>'BS76'!B100</f>
        <v>Trạm Thú y</v>
      </c>
      <c r="C101" s="405">
        <f t="shared" si="4"/>
        <v>0</v>
      </c>
      <c r="D101" s="405"/>
      <c r="E101" s="405">
        <f>'BS76'!C100</f>
        <v>0</v>
      </c>
      <c r="F101" s="405"/>
      <c r="G101" s="405"/>
      <c r="H101" s="405">
        <f t="shared" si="5"/>
        <v>0</v>
      </c>
      <c r="I101" s="405"/>
      <c r="J101" s="405"/>
      <c r="K101" s="405"/>
    </row>
    <row r="102" spans="1:11" ht="15.75">
      <c r="A102" s="401">
        <f>'BS76'!A101</f>
        <v>91</v>
      </c>
      <c r="B102" s="404" t="str">
        <f>'BS76'!B101</f>
        <v>Ban Bồi thường giải phóng mặt bằng</v>
      </c>
      <c r="C102" s="405">
        <f t="shared" si="4"/>
        <v>1121</v>
      </c>
      <c r="D102" s="405"/>
      <c r="E102" s="405">
        <f>'BS76'!C101</f>
        <v>1121</v>
      </c>
      <c r="F102" s="405"/>
      <c r="G102" s="405"/>
      <c r="H102" s="405">
        <f t="shared" si="5"/>
        <v>0</v>
      </c>
      <c r="I102" s="405"/>
      <c r="J102" s="405"/>
      <c r="K102" s="405"/>
    </row>
    <row r="103" spans="1:11" ht="15.75" hidden="1">
      <c r="A103" s="401">
        <f>'BS76'!A102</f>
        <v>0</v>
      </c>
      <c r="B103" s="404" t="str">
        <f>'BS76'!B102</f>
        <v>Kho bạc Nhà nước Quận 8</v>
      </c>
      <c r="C103" s="405">
        <f t="shared" si="4"/>
        <v>0</v>
      </c>
      <c r="D103" s="405"/>
      <c r="E103" s="405">
        <f>'BS76'!C102</f>
        <v>0</v>
      </c>
      <c r="F103" s="405"/>
      <c r="G103" s="405"/>
      <c r="H103" s="405">
        <f t="shared" si="5"/>
        <v>0</v>
      </c>
      <c r="I103" s="405"/>
      <c r="J103" s="405"/>
      <c r="K103" s="405"/>
    </row>
    <row r="104" spans="1:11" ht="15.75" hidden="1">
      <c r="A104" s="401">
        <f>'BS76'!A103</f>
        <v>0</v>
      </c>
      <c r="B104" s="404" t="str">
        <f>'BS76'!B103</f>
        <v>Đội Quản lý thị trường 8B</v>
      </c>
      <c r="C104" s="405">
        <f t="shared" si="4"/>
        <v>0</v>
      </c>
      <c r="D104" s="405"/>
      <c r="E104" s="405">
        <f>'BS76'!C103</f>
        <v>0</v>
      </c>
      <c r="F104" s="405"/>
      <c r="G104" s="405"/>
      <c r="H104" s="405">
        <f t="shared" si="5"/>
        <v>0</v>
      </c>
      <c r="I104" s="405"/>
      <c r="J104" s="405"/>
      <c r="K104" s="405"/>
    </row>
    <row r="105" spans="1:11" ht="15.75" hidden="1">
      <c r="A105" s="401">
        <f>'BS76'!A104</f>
        <v>0</v>
      </c>
      <c r="B105" s="404" t="str">
        <f>'BS76'!B104</f>
        <v>Chi cục Thuế Quận 8</v>
      </c>
      <c r="C105" s="405">
        <f t="shared" si="4"/>
        <v>0</v>
      </c>
      <c r="D105" s="405"/>
      <c r="E105" s="405">
        <f>'BS76'!C104</f>
        <v>0</v>
      </c>
      <c r="F105" s="405"/>
      <c r="G105" s="405"/>
      <c r="H105" s="405">
        <f t="shared" si="5"/>
        <v>0</v>
      </c>
      <c r="I105" s="405"/>
      <c r="J105" s="405"/>
      <c r="K105" s="405"/>
    </row>
    <row r="106" spans="1:11" ht="15.75" hidden="1">
      <c r="A106" s="401">
        <f>'BS76'!A105</f>
        <v>0</v>
      </c>
      <c r="B106" s="404" t="str">
        <f>'BS76'!B105</f>
        <v>Ủy ban nhân dân Phường 1</v>
      </c>
      <c r="C106" s="405">
        <f t="shared" si="4"/>
        <v>0</v>
      </c>
      <c r="D106" s="405"/>
      <c r="E106" s="405">
        <f>'BS76'!C105</f>
        <v>0</v>
      </c>
      <c r="F106" s="405"/>
      <c r="G106" s="405"/>
      <c r="H106" s="405">
        <f t="shared" si="5"/>
        <v>0</v>
      </c>
      <c r="I106" s="405"/>
      <c r="J106" s="405"/>
      <c r="K106" s="405"/>
    </row>
    <row r="107" spans="1:11" ht="15.75" hidden="1">
      <c r="A107" s="401">
        <f>'BS76'!A106</f>
        <v>0</v>
      </c>
      <c r="B107" s="404" t="str">
        <f>'BS76'!B106</f>
        <v>Ủy ban nhân dân Phường 2</v>
      </c>
      <c r="C107" s="405">
        <f t="shared" si="4"/>
        <v>0</v>
      </c>
      <c r="D107" s="405"/>
      <c r="E107" s="405">
        <f>'BS76'!C106</f>
        <v>0</v>
      </c>
      <c r="F107" s="405"/>
      <c r="G107" s="405"/>
      <c r="H107" s="405">
        <f t="shared" si="5"/>
        <v>0</v>
      </c>
      <c r="I107" s="405"/>
      <c r="J107" s="405"/>
      <c r="K107" s="405"/>
    </row>
    <row r="108" spans="1:11" ht="15.75" hidden="1">
      <c r="A108" s="401">
        <f>'BS76'!A107</f>
        <v>0</v>
      </c>
      <c r="B108" s="404" t="str">
        <f>'BS76'!B107</f>
        <v>Ủy ban nhân dân Phường 3</v>
      </c>
      <c r="C108" s="405">
        <f t="shared" si="4"/>
        <v>0</v>
      </c>
      <c r="D108" s="405"/>
      <c r="E108" s="405">
        <f>'BS76'!C107</f>
        <v>0</v>
      </c>
      <c r="F108" s="405"/>
      <c r="G108" s="405"/>
      <c r="H108" s="405">
        <f t="shared" si="5"/>
        <v>0</v>
      </c>
      <c r="I108" s="405"/>
      <c r="J108" s="405"/>
      <c r="K108" s="405"/>
    </row>
    <row r="109" spans="1:11" ht="15.75" hidden="1">
      <c r="A109" s="401">
        <f>'BS76'!A108</f>
        <v>0</v>
      </c>
      <c r="B109" s="404" t="str">
        <f>'BS76'!B108</f>
        <v>Ủy ban nhân dân Phường 4</v>
      </c>
      <c r="C109" s="405">
        <f t="shared" si="4"/>
        <v>0</v>
      </c>
      <c r="D109" s="405"/>
      <c r="E109" s="405">
        <f>'BS76'!C108</f>
        <v>0</v>
      </c>
      <c r="F109" s="405"/>
      <c r="G109" s="405"/>
      <c r="H109" s="405">
        <f t="shared" si="5"/>
        <v>0</v>
      </c>
      <c r="I109" s="405"/>
      <c r="J109" s="405"/>
      <c r="K109" s="405"/>
    </row>
    <row r="110" spans="1:11" ht="15.75" hidden="1">
      <c r="A110" s="401">
        <f>'BS76'!A109</f>
        <v>0</v>
      </c>
      <c r="B110" s="404" t="str">
        <f>'BS76'!B109</f>
        <v>Ủy ban nhân dân Phường 5</v>
      </c>
      <c r="C110" s="405">
        <f t="shared" si="4"/>
        <v>0</v>
      </c>
      <c r="D110" s="405"/>
      <c r="E110" s="405">
        <f>'BS76'!C109</f>
        <v>0</v>
      </c>
      <c r="F110" s="405"/>
      <c r="G110" s="405"/>
      <c r="H110" s="405">
        <f t="shared" si="5"/>
        <v>0</v>
      </c>
      <c r="I110" s="405"/>
      <c r="J110" s="405"/>
      <c r="K110" s="405"/>
    </row>
    <row r="111" spans="1:11" ht="15.75" hidden="1">
      <c r="A111" s="401">
        <f>'BS76'!A110</f>
        <v>0</v>
      </c>
      <c r="B111" s="404" t="str">
        <f>'BS76'!B110</f>
        <v>Ủy ban nhân dân Phường 6</v>
      </c>
      <c r="C111" s="405">
        <f t="shared" si="4"/>
        <v>0</v>
      </c>
      <c r="D111" s="405"/>
      <c r="E111" s="405">
        <f>'BS76'!C110</f>
        <v>0</v>
      </c>
      <c r="F111" s="405"/>
      <c r="G111" s="405"/>
      <c r="H111" s="405">
        <f t="shared" si="5"/>
        <v>0</v>
      </c>
      <c r="I111" s="405"/>
      <c r="J111" s="405"/>
      <c r="K111" s="405"/>
    </row>
    <row r="112" spans="1:11" ht="15.75" hidden="1">
      <c r="A112" s="401">
        <f>'BS76'!A111</f>
        <v>0</v>
      </c>
      <c r="B112" s="404" t="str">
        <f>'BS76'!B111</f>
        <v>Ủy ban nhân dân Phường 7</v>
      </c>
      <c r="C112" s="405">
        <f t="shared" si="4"/>
        <v>0</v>
      </c>
      <c r="D112" s="405"/>
      <c r="E112" s="405">
        <f>'BS76'!C111</f>
        <v>0</v>
      </c>
      <c r="F112" s="405"/>
      <c r="G112" s="405"/>
      <c r="H112" s="405">
        <f t="shared" si="5"/>
        <v>0</v>
      </c>
      <c r="I112" s="405"/>
      <c r="J112" s="405"/>
      <c r="K112" s="405"/>
    </row>
    <row r="113" spans="1:11" ht="15.75" hidden="1">
      <c r="A113" s="401">
        <f>'BS76'!A112</f>
        <v>0</v>
      </c>
      <c r="B113" s="404" t="str">
        <f>'BS76'!B112</f>
        <v>Ủy ban nhân dân Phường 8</v>
      </c>
      <c r="C113" s="405">
        <f t="shared" si="4"/>
        <v>0</v>
      </c>
      <c r="D113" s="405"/>
      <c r="E113" s="405">
        <f>'BS76'!C112</f>
        <v>0</v>
      </c>
      <c r="F113" s="405"/>
      <c r="G113" s="405"/>
      <c r="H113" s="405">
        <f t="shared" si="5"/>
        <v>0</v>
      </c>
      <c r="I113" s="405"/>
      <c r="J113" s="405"/>
      <c r="K113" s="405"/>
    </row>
    <row r="114" spans="1:11" ht="15.75" hidden="1">
      <c r="A114" s="401">
        <f>'BS76'!A113</f>
        <v>0</v>
      </c>
      <c r="B114" s="404" t="str">
        <f>'BS76'!B113</f>
        <v>Ủy ban nhân dân Phường 9</v>
      </c>
      <c r="C114" s="405">
        <f t="shared" si="4"/>
        <v>0</v>
      </c>
      <c r="D114" s="405"/>
      <c r="E114" s="405">
        <f>'BS76'!C113</f>
        <v>0</v>
      </c>
      <c r="F114" s="405"/>
      <c r="G114" s="405"/>
      <c r="H114" s="405">
        <f t="shared" si="5"/>
        <v>0</v>
      </c>
      <c r="I114" s="405"/>
      <c r="J114" s="405"/>
      <c r="K114" s="405"/>
    </row>
    <row r="115" spans="1:11" ht="15.75" hidden="1">
      <c r="A115" s="401">
        <f>'BS76'!A114</f>
        <v>0</v>
      </c>
      <c r="B115" s="404" t="str">
        <f>'BS76'!B114</f>
        <v>Ủy ban nhân dân Phường 10</v>
      </c>
      <c r="C115" s="405">
        <f t="shared" si="4"/>
        <v>0</v>
      </c>
      <c r="D115" s="405"/>
      <c r="E115" s="405">
        <f>'BS76'!C114</f>
        <v>0</v>
      </c>
      <c r="F115" s="405"/>
      <c r="G115" s="405"/>
      <c r="H115" s="405">
        <f t="shared" si="5"/>
        <v>0</v>
      </c>
      <c r="I115" s="405"/>
      <c r="J115" s="405"/>
      <c r="K115" s="405"/>
    </row>
    <row r="116" spans="1:11" ht="15.75" hidden="1">
      <c r="A116" s="401">
        <f>'BS76'!A115</f>
        <v>0</v>
      </c>
      <c r="B116" s="404" t="str">
        <f>'BS76'!B115</f>
        <v>Ủy ban nhân dân Phường 11</v>
      </c>
      <c r="C116" s="405">
        <f t="shared" si="4"/>
        <v>0</v>
      </c>
      <c r="D116" s="405"/>
      <c r="E116" s="405">
        <f>'BS76'!C115</f>
        <v>0</v>
      </c>
      <c r="F116" s="405"/>
      <c r="G116" s="405"/>
      <c r="H116" s="405">
        <f t="shared" si="5"/>
        <v>0</v>
      </c>
      <c r="I116" s="405"/>
      <c r="J116" s="405"/>
      <c r="K116" s="405"/>
    </row>
    <row r="117" spans="1:11" ht="15.75" hidden="1">
      <c r="A117" s="401">
        <f>'BS76'!A116</f>
        <v>0</v>
      </c>
      <c r="B117" s="404" t="str">
        <f>'BS76'!B116</f>
        <v>Ủy ban nhân dân Phường 12</v>
      </c>
      <c r="C117" s="405">
        <f t="shared" si="4"/>
        <v>0</v>
      </c>
      <c r="D117" s="405"/>
      <c r="E117" s="405">
        <f>'BS76'!C116</f>
        <v>0</v>
      </c>
      <c r="F117" s="405"/>
      <c r="G117" s="405"/>
      <c r="H117" s="405">
        <f t="shared" si="5"/>
        <v>0</v>
      </c>
      <c r="I117" s="405"/>
      <c r="J117" s="405"/>
      <c r="K117" s="405"/>
    </row>
    <row r="118" spans="1:11" ht="15.75" hidden="1">
      <c r="A118" s="401">
        <f>'BS76'!A117</f>
        <v>0</v>
      </c>
      <c r="B118" s="404" t="str">
        <f>'BS76'!B117</f>
        <v>Ủy ban nhân dân Phường 13</v>
      </c>
      <c r="C118" s="405">
        <f t="shared" si="4"/>
        <v>0</v>
      </c>
      <c r="D118" s="405"/>
      <c r="E118" s="405">
        <f>'BS76'!C117</f>
        <v>0</v>
      </c>
      <c r="F118" s="405"/>
      <c r="G118" s="405"/>
      <c r="H118" s="405">
        <f t="shared" si="5"/>
        <v>0</v>
      </c>
      <c r="I118" s="405"/>
      <c r="J118" s="405"/>
      <c r="K118" s="405"/>
    </row>
    <row r="119" spans="1:11" ht="15.75" hidden="1">
      <c r="A119" s="401">
        <f>'BS76'!A118</f>
        <v>0</v>
      </c>
      <c r="B119" s="404" t="str">
        <f>'BS76'!B118</f>
        <v>Ủy ban nhân dân Phường 14</v>
      </c>
      <c r="C119" s="405">
        <f t="shared" si="4"/>
        <v>0</v>
      </c>
      <c r="D119" s="405"/>
      <c r="E119" s="405">
        <f>'BS76'!C118</f>
        <v>0</v>
      </c>
      <c r="F119" s="405"/>
      <c r="G119" s="405"/>
      <c r="H119" s="405">
        <f t="shared" si="5"/>
        <v>0</v>
      </c>
      <c r="I119" s="405"/>
      <c r="J119" s="405"/>
      <c r="K119" s="405"/>
    </row>
    <row r="120" spans="1:11" ht="15.75" hidden="1">
      <c r="A120" s="401">
        <f>'BS76'!A119</f>
        <v>0</v>
      </c>
      <c r="B120" s="404" t="str">
        <f>'BS76'!B119</f>
        <v>Ủy ban nhân dân Phường 15</v>
      </c>
      <c r="C120" s="405">
        <f t="shared" si="4"/>
        <v>0</v>
      </c>
      <c r="D120" s="405"/>
      <c r="E120" s="405">
        <f>'BS76'!C119</f>
        <v>0</v>
      </c>
      <c r="F120" s="405"/>
      <c r="G120" s="405"/>
      <c r="H120" s="405">
        <f t="shared" si="5"/>
        <v>0</v>
      </c>
      <c r="I120" s="405"/>
      <c r="J120" s="405"/>
      <c r="K120" s="405"/>
    </row>
    <row r="121" spans="1:11" ht="15.75" hidden="1">
      <c r="A121" s="401">
        <f>'BS76'!A120</f>
        <v>0</v>
      </c>
      <c r="B121" s="404" t="str">
        <f>'BS76'!B120</f>
        <v>Ủy ban nhân dân Phường 16</v>
      </c>
      <c r="C121" s="405">
        <f t="shared" si="4"/>
        <v>0</v>
      </c>
      <c r="D121" s="405"/>
      <c r="E121" s="405">
        <f>'BS76'!C120</f>
        <v>0</v>
      </c>
      <c r="F121" s="405"/>
      <c r="G121" s="405"/>
      <c r="H121" s="405">
        <f t="shared" si="5"/>
        <v>0</v>
      </c>
      <c r="I121" s="405"/>
      <c r="J121" s="405"/>
      <c r="K121" s="405"/>
    </row>
    <row r="122" spans="1:11" ht="15.75" hidden="1">
      <c r="A122" s="401">
        <f>'BS76'!A121</f>
        <v>0</v>
      </c>
      <c r="B122" s="404" t="str">
        <f>'BS76'!B121</f>
        <v>Ban Quản lý chợ Phạm Thế Hiển</v>
      </c>
      <c r="C122" s="405">
        <f t="shared" si="4"/>
        <v>0</v>
      </c>
      <c r="D122" s="405"/>
      <c r="E122" s="405">
        <f>'BS76'!C121</f>
        <v>0</v>
      </c>
      <c r="F122" s="405"/>
      <c r="G122" s="405"/>
      <c r="H122" s="405">
        <f t="shared" si="5"/>
        <v>0</v>
      </c>
      <c r="I122" s="405"/>
      <c r="J122" s="405"/>
      <c r="K122" s="405"/>
    </row>
    <row r="123" spans="1:11" ht="15.75">
      <c r="A123" s="401">
        <f>'BS76'!A122</f>
        <v>92</v>
      </c>
      <c r="B123" s="404" t="str">
        <f>'BS76'!B122</f>
        <v>Chi nhiệm vụ khác theo chế độ</v>
      </c>
      <c r="C123" s="405">
        <f t="shared" si="4"/>
        <v>85868</v>
      </c>
      <c r="D123" s="405"/>
      <c r="E123" s="405">
        <f>'BS76'!C122</f>
        <v>85837</v>
      </c>
      <c r="F123" s="405"/>
      <c r="G123" s="405"/>
      <c r="H123" s="405">
        <f t="shared" si="5"/>
        <v>31</v>
      </c>
      <c r="I123" s="405"/>
      <c r="J123" s="405">
        <f>'BS79'!K14</f>
        <v>31</v>
      </c>
      <c r="K123" s="405"/>
    </row>
    <row r="124" spans="1:11" ht="31.5">
      <c r="A124" s="211" t="s">
        <v>3</v>
      </c>
      <c r="B124" s="402" t="s">
        <v>347</v>
      </c>
      <c r="C124" s="403">
        <f t="shared" si="4"/>
        <v>0</v>
      </c>
      <c r="D124" s="403"/>
      <c r="E124" s="403"/>
      <c r="F124" s="403"/>
      <c r="G124" s="403"/>
      <c r="H124" s="403"/>
      <c r="I124" s="403"/>
      <c r="J124" s="403"/>
      <c r="K124" s="403"/>
    </row>
    <row r="125" spans="1:11" ht="31.5">
      <c r="A125" s="211" t="s">
        <v>4</v>
      </c>
      <c r="B125" s="402" t="s">
        <v>315</v>
      </c>
      <c r="C125" s="403">
        <f t="shared" si="4"/>
        <v>0</v>
      </c>
      <c r="D125" s="403"/>
      <c r="E125" s="403"/>
      <c r="F125" s="403"/>
      <c r="G125" s="403"/>
      <c r="H125" s="403"/>
      <c r="I125" s="403"/>
      <c r="J125" s="403"/>
      <c r="K125" s="403"/>
    </row>
    <row r="126" spans="1:11" ht="31.5">
      <c r="A126" s="211" t="s">
        <v>21</v>
      </c>
      <c r="B126" s="402" t="s">
        <v>447</v>
      </c>
      <c r="C126" s="403">
        <f t="shared" si="4"/>
        <v>183719</v>
      </c>
      <c r="D126" s="403"/>
      <c r="E126" s="403">
        <f>'BS70'!E19</f>
        <v>183719</v>
      </c>
      <c r="F126" s="403"/>
      <c r="G126" s="403"/>
      <c r="H126" s="403"/>
      <c r="I126" s="403"/>
      <c r="J126" s="403"/>
      <c r="K126" s="403"/>
    </row>
    <row r="127" spans="1:11" ht="31.5">
      <c r="A127" s="189" t="s">
        <v>46</v>
      </c>
      <c r="B127" s="190" t="s">
        <v>312</v>
      </c>
      <c r="C127" s="191">
        <f t="shared" si="4"/>
        <v>0</v>
      </c>
      <c r="D127" s="191"/>
      <c r="E127" s="191"/>
      <c r="F127" s="191"/>
      <c r="G127" s="191"/>
      <c r="H127" s="191"/>
      <c r="I127" s="191"/>
      <c r="J127" s="191"/>
      <c r="K127" s="191"/>
    </row>
  </sheetData>
  <sheetProtection/>
  <mergeCells count="11">
    <mergeCell ref="F5:F6"/>
    <mergeCell ref="G5:G6"/>
    <mergeCell ref="H5:J5"/>
    <mergeCell ref="K5:K6"/>
    <mergeCell ref="A2:K2"/>
    <mergeCell ref="A5:A6"/>
    <mergeCell ref="B5:B6"/>
    <mergeCell ref="C5:C6"/>
    <mergeCell ref="A3:K3"/>
    <mergeCell ref="D5:D6"/>
    <mergeCell ref="E5:E6"/>
  </mergeCells>
  <printOptions horizontalCentered="1"/>
  <pageMargins left="0.5118110236220472" right="0.5118110236220472" top="0.5118110236220472" bottom="0.5118110236220472" header="0.31496062992125984" footer="0.31496062992125984"/>
  <pageSetup horizontalDpi="600" verticalDpi="600" orientation="landscape" paperSize="9" r:id="rId1"/>
  <headerFooter>
    <oddFooter>&amp;R&amp;"Times New Roman,Regular"&amp;10&amp;P</oddFooter>
  </headerFooter>
</worksheet>
</file>

<file path=xl/worksheets/sheet6.xml><?xml version="1.0" encoding="utf-8"?>
<worksheet xmlns="http://schemas.openxmlformats.org/spreadsheetml/2006/main" xmlns:r="http://schemas.openxmlformats.org/officeDocument/2006/relationships">
  <sheetPr>
    <tabColor rgb="FFC00000"/>
  </sheetPr>
  <dimension ref="A1:R122"/>
  <sheetViews>
    <sheetView showZeros="0" zoomScale="140" zoomScaleNormal="140" zoomScalePageLayoutView="0" workbookViewId="0" topLeftCell="C5">
      <selection activeCell="I13" sqref="C13:I17"/>
    </sheetView>
  </sheetViews>
  <sheetFormatPr defaultColWidth="9.140625" defaultRowHeight="15"/>
  <cols>
    <col min="1" max="1" width="4.57421875" style="220" customWidth="1"/>
    <col min="2" max="2" width="32.00390625" style="220" customWidth="1"/>
    <col min="3" max="3" width="8.7109375" style="220" customWidth="1"/>
    <col min="4" max="4" width="8.00390625" style="220" customWidth="1"/>
    <col min="5" max="5" width="6.57421875" style="220" hidden="1" customWidth="1"/>
    <col min="6" max="6" width="6.7109375" style="220" customWidth="1"/>
    <col min="7" max="7" width="7.421875" style="220" customWidth="1"/>
    <col min="8" max="8" width="7.8515625" style="220" customWidth="1"/>
    <col min="9" max="9" width="6.421875" style="220" customWidth="1"/>
    <col min="10" max="10" width="0" style="220" hidden="1" customWidth="1"/>
    <col min="11" max="11" width="6.140625" style="220" customWidth="1"/>
    <col min="12" max="12" width="7.421875" style="220" customWidth="1"/>
    <col min="13" max="13" width="6.7109375" style="220" customWidth="1"/>
    <col min="14" max="14" width="6.28125" style="220" customWidth="1"/>
    <col min="15" max="15" width="8.00390625" style="220" customWidth="1"/>
    <col min="16" max="16" width="9.28125" style="220" customWidth="1"/>
    <col min="17" max="17" width="7.00390625" style="220" customWidth="1"/>
    <col min="18" max="18" width="6.28125" style="220" customWidth="1"/>
    <col min="19" max="16384" width="9.140625" style="220" customWidth="1"/>
  </cols>
  <sheetData>
    <row r="1" spans="1:18" ht="14.25">
      <c r="A1" s="412" t="s">
        <v>500</v>
      </c>
      <c r="R1" s="152" t="s">
        <v>510</v>
      </c>
    </row>
    <row r="2" spans="1:18" ht="33.75" customHeight="1">
      <c r="A2" s="478" t="s">
        <v>478</v>
      </c>
      <c r="B2" s="445"/>
      <c r="C2" s="445"/>
      <c r="D2" s="445"/>
      <c r="E2" s="445"/>
      <c r="F2" s="445"/>
      <c r="G2" s="445"/>
      <c r="H2" s="445"/>
      <c r="I2" s="445"/>
      <c r="J2" s="445"/>
      <c r="K2" s="445"/>
      <c r="L2" s="445"/>
      <c r="M2" s="445"/>
      <c r="N2" s="445"/>
      <c r="O2" s="445"/>
      <c r="P2" s="445"/>
      <c r="Q2" s="445"/>
      <c r="R2" s="445"/>
    </row>
    <row r="3" spans="1:18" ht="15.75" customHeight="1">
      <c r="A3" s="496" t="s">
        <v>509</v>
      </c>
      <c r="B3" s="496"/>
      <c r="C3" s="496"/>
      <c r="D3" s="496"/>
      <c r="E3" s="496"/>
      <c r="F3" s="496"/>
      <c r="G3" s="496"/>
      <c r="H3" s="496"/>
      <c r="I3" s="496"/>
      <c r="J3" s="496"/>
      <c r="K3" s="496"/>
      <c r="L3" s="496"/>
      <c r="M3" s="496"/>
      <c r="N3" s="496"/>
      <c r="O3" s="496"/>
      <c r="P3" s="496"/>
      <c r="Q3" s="496"/>
      <c r="R3" s="496"/>
    </row>
    <row r="4" ht="12.75">
      <c r="R4" s="272" t="s">
        <v>10</v>
      </c>
    </row>
    <row r="5" spans="1:18" ht="12.75">
      <c r="A5" s="483" t="s">
        <v>0</v>
      </c>
      <c r="B5" s="483" t="s">
        <v>173</v>
      </c>
      <c r="C5" s="483" t="s">
        <v>130</v>
      </c>
      <c r="D5" s="483" t="s">
        <v>100</v>
      </c>
      <c r="E5" s="483" t="s">
        <v>101</v>
      </c>
      <c r="F5" s="483" t="s">
        <v>193</v>
      </c>
      <c r="G5" s="483" t="s">
        <v>194</v>
      </c>
      <c r="H5" s="483" t="s">
        <v>195</v>
      </c>
      <c r="I5" s="483" t="s">
        <v>196</v>
      </c>
      <c r="J5" s="483" t="s">
        <v>197</v>
      </c>
      <c r="K5" s="483" t="s">
        <v>198</v>
      </c>
      <c r="L5" s="483" t="s">
        <v>199</v>
      </c>
      <c r="M5" s="483" t="s">
        <v>200</v>
      </c>
      <c r="N5" s="483" t="s">
        <v>208</v>
      </c>
      <c r="O5" s="483"/>
      <c r="P5" s="483" t="s">
        <v>201</v>
      </c>
      <c r="Q5" s="483" t="s">
        <v>202</v>
      </c>
      <c r="R5" s="483" t="s">
        <v>204</v>
      </c>
    </row>
    <row r="6" spans="1:18" ht="79.5" customHeight="1">
      <c r="A6" s="483"/>
      <c r="B6" s="483"/>
      <c r="C6" s="483"/>
      <c r="D6" s="483"/>
      <c r="E6" s="483"/>
      <c r="F6" s="483"/>
      <c r="G6" s="483"/>
      <c r="H6" s="483"/>
      <c r="I6" s="483"/>
      <c r="J6" s="483"/>
      <c r="K6" s="483"/>
      <c r="L6" s="483"/>
      <c r="M6" s="483"/>
      <c r="N6" s="273" t="s">
        <v>209</v>
      </c>
      <c r="O6" s="273" t="s">
        <v>210</v>
      </c>
      <c r="P6" s="483"/>
      <c r="Q6" s="483"/>
      <c r="R6" s="483"/>
    </row>
    <row r="7" spans="1:18" ht="12.75">
      <c r="A7" s="274" t="s">
        <v>1</v>
      </c>
      <c r="B7" s="274" t="s">
        <v>6</v>
      </c>
      <c r="C7" s="275" t="s">
        <v>51</v>
      </c>
      <c r="D7" s="275" t="s">
        <v>52</v>
      </c>
      <c r="E7" s="274"/>
      <c r="F7" s="275" t="s">
        <v>53</v>
      </c>
      <c r="G7" s="275" t="s">
        <v>54</v>
      </c>
      <c r="H7" s="275" t="s">
        <v>299</v>
      </c>
      <c r="I7" s="275" t="s">
        <v>300</v>
      </c>
      <c r="J7" s="274"/>
      <c r="K7" s="275" t="s">
        <v>301</v>
      </c>
      <c r="L7" s="275" t="s">
        <v>302</v>
      </c>
      <c r="M7" s="275" t="s">
        <v>303</v>
      </c>
      <c r="N7" s="275" t="s">
        <v>304</v>
      </c>
      <c r="O7" s="275" t="s">
        <v>305</v>
      </c>
      <c r="P7" s="275" t="s">
        <v>306</v>
      </c>
      <c r="Q7" s="275" t="s">
        <v>307</v>
      </c>
      <c r="R7" s="275" t="s">
        <v>308</v>
      </c>
    </row>
    <row r="8" spans="1:18" ht="12.75">
      <c r="A8" s="406"/>
      <c r="B8" s="407" t="s">
        <v>149</v>
      </c>
      <c r="C8" s="408">
        <f aca="true" t="shared" si="0" ref="C8:R8">SUM(C9:C122)</f>
        <v>980476</v>
      </c>
      <c r="D8" s="408">
        <f t="shared" si="0"/>
        <v>529041</v>
      </c>
      <c r="E8" s="408">
        <f t="shared" si="0"/>
        <v>0</v>
      </c>
      <c r="F8" s="408">
        <f t="shared" si="0"/>
        <v>8291</v>
      </c>
      <c r="G8" s="408">
        <f t="shared" si="0"/>
        <v>2962</v>
      </c>
      <c r="H8" s="408">
        <f t="shared" si="0"/>
        <v>106934</v>
      </c>
      <c r="I8" s="408">
        <f t="shared" si="0"/>
        <v>4419</v>
      </c>
      <c r="J8" s="408">
        <f t="shared" si="0"/>
        <v>0</v>
      </c>
      <c r="K8" s="408">
        <f t="shared" si="0"/>
        <v>2310</v>
      </c>
      <c r="L8" s="408">
        <f t="shared" si="0"/>
        <v>87928</v>
      </c>
      <c r="M8" s="408">
        <f t="shared" si="0"/>
        <v>64786</v>
      </c>
      <c r="N8" s="408">
        <f t="shared" si="0"/>
        <v>6970</v>
      </c>
      <c r="O8" s="408">
        <f t="shared" si="0"/>
        <v>0</v>
      </c>
      <c r="P8" s="408">
        <f t="shared" si="0"/>
        <v>71959</v>
      </c>
      <c r="Q8" s="408">
        <f t="shared" si="0"/>
        <v>92853</v>
      </c>
      <c r="R8" s="408">
        <f t="shared" si="0"/>
        <v>8993</v>
      </c>
    </row>
    <row r="9" spans="1:18" ht="12.75">
      <c r="A9" s="274">
        <v>1</v>
      </c>
      <c r="B9" s="409" t="s">
        <v>211</v>
      </c>
      <c r="C9" s="410">
        <f>SUM(D9:M9,P9:R9)</f>
        <v>14746</v>
      </c>
      <c r="D9" s="410"/>
      <c r="E9" s="410"/>
      <c r="F9" s="410"/>
      <c r="G9" s="410"/>
      <c r="H9" s="410"/>
      <c r="I9" s="410"/>
      <c r="J9" s="410"/>
      <c r="K9" s="410"/>
      <c r="L9" s="410"/>
      <c r="M9" s="410"/>
      <c r="N9" s="410"/>
      <c r="O9" s="410"/>
      <c r="P9" s="410">
        <f>11441+3015</f>
        <v>14456</v>
      </c>
      <c r="Q9" s="410">
        <v>290</v>
      </c>
      <c r="R9" s="410"/>
    </row>
    <row r="10" spans="1:18" ht="12.75">
      <c r="A10" s="274">
        <v>2</v>
      </c>
      <c r="B10" s="409" t="s">
        <v>212</v>
      </c>
      <c r="C10" s="410">
        <f aca="true" t="shared" si="1" ref="C10:C73">SUM(D10:M10,P10:R10)</f>
        <v>4502</v>
      </c>
      <c r="D10" s="410"/>
      <c r="E10" s="410"/>
      <c r="F10" s="410"/>
      <c r="G10" s="410"/>
      <c r="H10" s="410"/>
      <c r="I10" s="410"/>
      <c r="J10" s="410"/>
      <c r="K10" s="410"/>
      <c r="L10" s="410"/>
      <c r="M10" s="410">
        <v>300</v>
      </c>
      <c r="N10" s="410"/>
      <c r="O10" s="410"/>
      <c r="P10" s="410">
        <f>2823+1379</f>
        <v>4202</v>
      </c>
      <c r="Q10" s="410"/>
      <c r="R10" s="410"/>
    </row>
    <row r="11" spans="1:18" ht="12.75">
      <c r="A11" s="274">
        <v>3</v>
      </c>
      <c r="B11" s="409" t="s">
        <v>213</v>
      </c>
      <c r="C11" s="410">
        <f t="shared" si="1"/>
        <v>3011</v>
      </c>
      <c r="D11" s="410"/>
      <c r="E11" s="410"/>
      <c r="F11" s="410"/>
      <c r="G11" s="410"/>
      <c r="H11" s="410"/>
      <c r="I11" s="410"/>
      <c r="J11" s="410"/>
      <c r="K11" s="410"/>
      <c r="L11" s="410"/>
      <c r="M11" s="410"/>
      <c r="N11" s="410"/>
      <c r="O11" s="410"/>
      <c r="P11" s="410">
        <f>2339+672</f>
        <v>3011</v>
      </c>
      <c r="Q11" s="410"/>
      <c r="R11" s="410"/>
    </row>
    <row r="12" spans="1:18" ht="12.75">
      <c r="A12" s="274">
        <v>4</v>
      </c>
      <c r="B12" s="409" t="s">
        <v>214</v>
      </c>
      <c r="C12" s="410">
        <f t="shared" si="1"/>
        <v>2432</v>
      </c>
      <c r="D12" s="410"/>
      <c r="E12" s="410"/>
      <c r="F12" s="410"/>
      <c r="G12" s="410"/>
      <c r="H12" s="410"/>
      <c r="I12" s="410">
        <v>300</v>
      </c>
      <c r="J12" s="410"/>
      <c r="K12" s="410"/>
      <c r="L12" s="410"/>
      <c r="M12" s="410"/>
      <c r="N12" s="410"/>
      <c r="O12" s="410"/>
      <c r="P12" s="410">
        <f>1478+654</f>
        <v>2132</v>
      </c>
      <c r="Q12" s="410"/>
      <c r="R12" s="410"/>
    </row>
    <row r="13" spans="1:18" ht="12.75">
      <c r="A13" s="274">
        <v>5</v>
      </c>
      <c r="B13" s="409" t="s">
        <v>215</v>
      </c>
      <c r="C13" s="410">
        <f t="shared" si="1"/>
        <v>128666</v>
      </c>
      <c r="D13" s="410">
        <f>486</f>
        <v>486</v>
      </c>
      <c r="E13" s="410"/>
      <c r="F13" s="410"/>
      <c r="G13" s="410"/>
      <c r="H13" s="410">
        <f>21340+10976</f>
        <v>32316</v>
      </c>
      <c r="I13" s="410"/>
      <c r="J13" s="410"/>
      <c r="K13" s="410"/>
      <c r="L13" s="410"/>
      <c r="M13" s="410"/>
      <c r="N13" s="410"/>
      <c r="O13" s="410"/>
      <c r="P13" s="410">
        <f>2247+1054</f>
        <v>3301</v>
      </c>
      <c r="Q13" s="410">
        <f>91372+100+1091</f>
        <v>92563</v>
      </c>
      <c r="R13" s="410"/>
    </row>
    <row r="14" spans="1:18" ht="12.75">
      <c r="A14" s="274">
        <v>6</v>
      </c>
      <c r="B14" s="409" t="s">
        <v>216</v>
      </c>
      <c r="C14" s="410">
        <f t="shared" si="1"/>
        <v>47136</v>
      </c>
      <c r="D14" s="410"/>
      <c r="E14" s="410"/>
      <c r="F14" s="410"/>
      <c r="G14" s="410"/>
      <c r="H14" s="410"/>
      <c r="I14" s="410"/>
      <c r="J14" s="410"/>
      <c r="K14" s="410"/>
      <c r="L14" s="410"/>
      <c r="M14" s="410">
        <f>38207+48</f>
        <v>38255</v>
      </c>
      <c r="N14" s="410"/>
      <c r="O14" s="410"/>
      <c r="P14" s="410">
        <f>6092+2789</f>
        <v>8881</v>
      </c>
      <c r="Q14" s="410"/>
      <c r="R14" s="410"/>
    </row>
    <row r="15" spans="1:18" ht="12.75">
      <c r="A15" s="274">
        <v>7</v>
      </c>
      <c r="B15" s="409" t="s">
        <v>217</v>
      </c>
      <c r="C15" s="410">
        <f t="shared" si="1"/>
        <v>81705</v>
      </c>
      <c r="D15" s="410"/>
      <c r="E15" s="410"/>
      <c r="F15" s="410"/>
      <c r="G15" s="410"/>
      <c r="H15" s="410"/>
      <c r="I15" s="410">
        <f>240</f>
        <v>240</v>
      </c>
      <c r="J15" s="410"/>
      <c r="K15" s="410"/>
      <c r="L15" s="410">
        <f>61361+8000+195</f>
        <v>69556</v>
      </c>
      <c r="M15" s="410">
        <f>6292+417+903</f>
        <v>7612</v>
      </c>
      <c r="N15" s="410"/>
      <c r="O15" s="410"/>
      <c r="P15" s="410">
        <f>2861+1436</f>
        <v>4297</v>
      </c>
      <c r="Q15" s="410"/>
      <c r="R15" s="410"/>
    </row>
    <row r="16" spans="1:18" ht="12.75">
      <c r="A16" s="274">
        <v>8</v>
      </c>
      <c r="B16" s="409" t="s">
        <v>218</v>
      </c>
      <c r="C16" s="410">
        <f t="shared" si="1"/>
        <v>1664</v>
      </c>
      <c r="D16" s="410"/>
      <c r="E16" s="410"/>
      <c r="F16" s="410"/>
      <c r="G16" s="410"/>
      <c r="H16" s="410"/>
      <c r="I16" s="410"/>
      <c r="J16" s="410"/>
      <c r="K16" s="410"/>
      <c r="L16" s="410"/>
      <c r="M16" s="410"/>
      <c r="N16" s="410"/>
      <c r="O16" s="410"/>
      <c r="P16" s="410">
        <f>1269+395</f>
        <v>1664</v>
      </c>
      <c r="Q16" s="410"/>
      <c r="R16" s="410"/>
    </row>
    <row r="17" spans="1:18" ht="12.75">
      <c r="A17" s="274">
        <v>9</v>
      </c>
      <c r="B17" s="409" t="s">
        <v>219</v>
      </c>
      <c r="C17" s="410">
        <f t="shared" si="1"/>
        <v>2181</v>
      </c>
      <c r="D17" s="410"/>
      <c r="E17" s="410"/>
      <c r="F17" s="410"/>
      <c r="G17" s="410"/>
      <c r="H17" s="410"/>
      <c r="I17" s="410"/>
      <c r="J17" s="410"/>
      <c r="K17" s="410"/>
      <c r="L17" s="410"/>
      <c r="M17" s="410"/>
      <c r="N17" s="410"/>
      <c r="O17" s="410"/>
      <c r="P17" s="410">
        <f>1524+657</f>
        <v>2181</v>
      </c>
      <c r="Q17" s="410"/>
      <c r="R17" s="410"/>
    </row>
    <row r="18" spans="1:18" ht="12.75">
      <c r="A18" s="274">
        <v>10</v>
      </c>
      <c r="B18" s="409" t="s">
        <v>220</v>
      </c>
      <c r="C18" s="410">
        <f t="shared" si="1"/>
        <v>3989</v>
      </c>
      <c r="D18" s="410"/>
      <c r="E18" s="410"/>
      <c r="F18" s="410"/>
      <c r="G18" s="410"/>
      <c r="H18" s="410"/>
      <c r="I18" s="410"/>
      <c r="J18" s="410"/>
      <c r="K18" s="410"/>
      <c r="L18" s="410"/>
      <c r="M18" s="410"/>
      <c r="N18" s="410"/>
      <c r="O18" s="410"/>
      <c r="P18" s="410">
        <f>3053+936</f>
        <v>3989</v>
      </c>
      <c r="Q18" s="410"/>
      <c r="R18" s="410"/>
    </row>
    <row r="19" spans="1:18" ht="12.75">
      <c r="A19" s="274">
        <v>11</v>
      </c>
      <c r="B19" s="409" t="s">
        <v>221</v>
      </c>
      <c r="C19" s="410">
        <f t="shared" si="1"/>
        <v>3845</v>
      </c>
      <c r="D19" s="410">
        <v>720</v>
      </c>
      <c r="E19" s="410"/>
      <c r="F19" s="410"/>
      <c r="G19" s="410"/>
      <c r="H19" s="410"/>
      <c r="I19" s="410"/>
      <c r="J19" s="410"/>
      <c r="K19" s="410"/>
      <c r="L19" s="410"/>
      <c r="M19" s="410"/>
      <c r="N19" s="410"/>
      <c r="O19" s="410"/>
      <c r="P19" s="410">
        <f>1941+1184</f>
        <v>3125</v>
      </c>
      <c r="Q19" s="410"/>
      <c r="R19" s="410"/>
    </row>
    <row r="20" spans="1:18" ht="12.75">
      <c r="A20" s="274">
        <v>12</v>
      </c>
      <c r="B20" s="409" t="s">
        <v>222</v>
      </c>
      <c r="C20" s="410">
        <f t="shared" si="1"/>
        <v>2202</v>
      </c>
      <c r="D20" s="410"/>
      <c r="E20" s="410"/>
      <c r="F20" s="410"/>
      <c r="G20" s="410"/>
      <c r="H20" s="410">
        <f>377</f>
        <v>377</v>
      </c>
      <c r="I20" s="410"/>
      <c r="J20" s="410"/>
      <c r="K20" s="410"/>
      <c r="L20" s="410"/>
      <c r="M20" s="410"/>
      <c r="N20" s="410"/>
      <c r="O20" s="410"/>
      <c r="P20" s="410">
        <f>1244+581</f>
        <v>1825</v>
      </c>
      <c r="Q20" s="410"/>
      <c r="R20" s="410"/>
    </row>
    <row r="21" spans="1:18" ht="12.75" hidden="1">
      <c r="A21" s="274"/>
      <c r="B21" s="409" t="s">
        <v>487</v>
      </c>
      <c r="C21" s="410">
        <f t="shared" si="1"/>
        <v>0</v>
      </c>
      <c r="D21" s="410"/>
      <c r="E21" s="410"/>
      <c r="F21" s="410"/>
      <c r="G21" s="410"/>
      <c r="H21" s="410"/>
      <c r="I21" s="410"/>
      <c r="J21" s="410"/>
      <c r="K21" s="410"/>
      <c r="L21" s="410"/>
      <c r="M21" s="410"/>
      <c r="N21" s="410"/>
      <c r="O21" s="410"/>
      <c r="P21" s="410"/>
      <c r="Q21" s="410"/>
      <c r="R21" s="410"/>
    </row>
    <row r="22" spans="1:18" ht="12.75">
      <c r="A22" s="274">
        <v>13</v>
      </c>
      <c r="B22" s="409" t="s">
        <v>265</v>
      </c>
      <c r="C22" s="410">
        <f t="shared" si="1"/>
        <v>48730</v>
      </c>
      <c r="D22" s="410"/>
      <c r="E22" s="410"/>
      <c r="F22" s="410"/>
      <c r="G22" s="410"/>
      <c r="H22" s="410">
        <f>33480+15250</f>
        <v>48730</v>
      </c>
      <c r="I22" s="410"/>
      <c r="J22" s="410"/>
      <c r="K22" s="410"/>
      <c r="L22" s="410"/>
      <c r="M22" s="410"/>
      <c r="N22" s="410"/>
      <c r="O22" s="410"/>
      <c r="P22" s="410"/>
      <c r="Q22" s="410"/>
      <c r="R22" s="410"/>
    </row>
    <row r="23" spans="1:18" ht="12.75">
      <c r="A23" s="274">
        <v>14</v>
      </c>
      <c r="B23" s="409" t="s">
        <v>223</v>
      </c>
      <c r="C23" s="410">
        <f t="shared" si="1"/>
        <v>8599</v>
      </c>
      <c r="D23" s="410"/>
      <c r="E23" s="410"/>
      <c r="F23" s="410"/>
      <c r="G23" s="410"/>
      <c r="H23" s="410">
        <f>8599</f>
        <v>8599</v>
      </c>
      <c r="I23" s="410"/>
      <c r="J23" s="410"/>
      <c r="K23" s="410"/>
      <c r="L23" s="410"/>
      <c r="M23" s="410"/>
      <c r="N23" s="410"/>
      <c r="O23" s="410"/>
      <c r="P23" s="410"/>
      <c r="Q23" s="410"/>
      <c r="R23" s="410"/>
    </row>
    <row r="24" spans="1:18" ht="12.75">
      <c r="A24" s="274">
        <v>15</v>
      </c>
      <c r="B24" s="409" t="s">
        <v>224</v>
      </c>
      <c r="C24" s="410">
        <f t="shared" si="1"/>
        <v>1689</v>
      </c>
      <c r="D24" s="410"/>
      <c r="E24" s="410"/>
      <c r="F24" s="410"/>
      <c r="G24" s="410"/>
      <c r="H24" s="410"/>
      <c r="I24" s="410">
        <f>1689</f>
        <v>1689</v>
      </c>
      <c r="J24" s="410"/>
      <c r="K24" s="410"/>
      <c r="L24" s="410"/>
      <c r="M24" s="410"/>
      <c r="N24" s="410"/>
      <c r="O24" s="410"/>
      <c r="P24" s="410"/>
      <c r="Q24" s="410"/>
      <c r="R24" s="410"/>
    </row>
    <row r="25" spans="1:18" ht="12.75">
      <c r="A25" s="274">
        <v>16</v>
      </c>
      <c r="B25" s="409" t="s">
        <v>225</v>
      </c>
      <c r="C25" s="410">
        <f t="shared" si="1"/>
        <v>1430</v>
      </c>
      <c r="D25" s="410"/>
      <c r="E25" s="410"/>
      <c r="F25" s="410"/>
      <c r="G25" s="410"/>
      <c r="H25" s="410"/>
      <c r="I25" s="410">
        <f>786+300+236+3*3*12</f>
        <v>1430</v>
      </c>
      <c r="J25" s="410"/>
      <c r="K25" s="410"/>
      <c r="L25" s="410"/>
      <c r="M25" s="410"/>
      <c r="N25" s="410"/>
      <c r="O25" s="410"/>
      <c r="P25" s="410"/>
      <c r="Q25" s="410"/>
      <c r="R25" s="410"/>
    </row>
    <row r="26" spans="1:18" ht="12.75">
      <c r="A26" s="274">
        <v>17</v>
      </c>
      <c r="B26" s="409" t="s">
        <v>494</v>
      </c>
      <c r="C26" s="410">
        <f t="shared" si="1"/>
        <v>2310</v>
      </c>
      <c r="D26" s="410"/>
      <c r="E26" s="410"/>
      <c r="F26" s="410"/>
      <c r="G26" s="410"/>
      <c r="H26" s="410"/>
      <c r="I26" s="410"/>
      <c r="J26" s="410"/>
      <c r="K26" s="410">
        <f>2310</f>
        <v>2310</v>
      </c>
      <c r="L26" s="410"/>
      <c r="M26" s="410"/>
      <c r="N26" s="410"/>
      <c r="O26" s="410"/>
      <c r="P26" s="410"/>
      <c r="Q26" s="410"/>
      <c r="R26" s="410"/>
    </row>
    <row r="27" spans="1:18" ht="12.75">
      <c r="A27" s="274">
        <v>18</v>
      </c>
      <c r="B27" s="409" t="s">
        <v>398</v>
      </c>
      <c r="C27" s="410">
        <f t="shared" si="1"/>
        <v>2173</v>
      </c>
      <c r="D27" s="410">
        <f>2173</f>
        <v>2173</v>
      </c>
      <c r="E27" s="410"/>
      <c r="F27" s="410"/>
      <c r="G27" s="410"/>
      <c r="H27" s="410"/>
      <c r="I27" s="410"/>
      <c r="J27" s="410"/>
      <c r="K27" s="410"/>
      <c r="L27" s="410"/>
      <c r="M27" s="410"/>
      <c r="N27" s="410"/>
      <c r="O27" s="410"/>
      <c r="P27" s="410"/>
      <c r="Q27" s="410"/>
      <c r="R27" s="410"/>
    </row>
    <row r="28" spans="1:18" ht="12.75">
      <c r="A28" s="274">
        <v>19</v>
      </c>
      <c r="B28" s="409" t="s">
        <v>227</v>
      </c>
      <c r="C28" s="410">
        <f t="shared" si="1"/>
        <v>8291</v>
      </c>
      <c r="D28" s="410"/>
      <c r="E28" s="410"/>
      <c r="F28" s="410">
        <v>8291</v>
      </c>
      <c r="G28" s="410"/>
      <c r="H28" s="410"/>
      <c r="I28" s="410"/>
      <c r="J28" s="410"/>
      <c r="K28" s="410"/>
      <c r="L28" s="410"/>
      <c r="M28" s="410"/>
      <c r="N28" s="410"/>
      <c r="O28" s="410"/>
      <c r="P28" s="410"/>
      <c r="Q28" s="410"/>
      <c r="R28" s="410"/>
    </row>
    <row r="29" spans="1:18" ht="12.75">
      <c r="A29" s="274">
        <v>20</v>
      </c>
      <c r="B29" s="409" t="s">
        <v>228</v>
      </c>
      <c r="C29" s="410">
        <f t="shared" si="1"/>
        <v>2962</v>
      </c>
      <c r="D29" s="410"/>
      <c r="E29" s="410"/>
      <c r="F29" s="410"/>
      <c r="G29" s="410">
        <v>2962</v>
      </c>
      <c r="H29" s="410"/>
      <c r="I29" s="410"/>
      <c r="J29" s="410"/>
      <c r="K29" s="410"/>
      <c r="L29" s="410"/>
      <c r="M29" s="410"/>
      <c r="N29" s="410"/>
      <c r="O29" s="410"/>
      <c r="P29" s="410"/>
      <c r="Q29" s="410"/>
      <c r="R29" s="410"/>
    </row>
    <row r="30" spans="1:18" ht="12.75">
      <c r="A30" s="274">
        <v>21</v>
      </c>
      <c r="B30" s="409" t="s">
        <v>493</v>
      </c>
      <c r="C30" s="410">
        <f t="shared" si="1"/>
        <v>4691</v>
      </c>
      <c r="D30" s="410"/>
      <c r="E30" s="410"/>
      <c r="F30" s="410"/>
      <c r="G30" s="410"/>
      <c r="H30" s="410"/>
      <c r="I30" s="410"/>
      <c r="J30" s="410"/>
      <c r="K30" s="410"/>
      <c r="L30" s="410"/>
      <c r="M30" s="410"/>
      <c r="N30" s="410"/>
      <c r="O30" s="410"/>
      <c r="P30" s="410">
        <v>4691</v>
      </c>
      <c r="Q30" s="410"/>
      <c r="R30" s="410"/>
    </row>
    <row r="31" spans="1:18" ht="12.75">
      <c r="A31" s="274">
        <v>22</v>
      </c>
      <c r="B31" s="409" t="s">
        <v>229</v>
      </c>
      <c r="C31" s="410">
        <f t="shared" si="1"/>
        <v>3285</v>
      </c>
      <c r="D31" s="410"/>
      <c r="E31" s="410"/>
      <c r="F31" s="410"/>
      <c r="G31" s="410"/>
      <c r="H31" s="410"/>
      <c r="I31" s="410"/>
      <c r="J31" s="410"/>
      <c r="K31" s="410"/>
      <c r="L31" s="410"/>
      <c r="M31" s="410"/>
      <c r="N31" s="410"/>
      <c r="O31" s="410"/>
      <c r="P31" s="410">
        <v>3285</v>
      </c>
      <c r="Q31" s="410"/>
      <c r="R31" s="410"/>
    </row>
    <row r="32" spans="1:18" ht="12.75">
      <c r="A32" s="274">
        <v>23</v>
      </c>
      <c r="B32" s="409" t="s">
        <v>230</v>
      </c>
      <c r="C32" s="410">
        <f t="shared" si="1"/>
        <v>2538</v>
      </c>
      <c r="D32" s="410"/>
      <c r="E32" s="410"/>
      <c r="F32" s="410"/>
      <c r="G32" s="410"/>
      <c r="H32" s="410"/>
      <c r="I32" s="410"/>
      <c r="J32" s="410"/>
      <c r="K32" s="410"/>
      <c r="L32" s="410"/>
      <c r="M32" s="410"/>
      <c r="N32" s="410"/>
      <c r="O32" s="410"/>
      <c r="P32" s="410">
        <v>2538</v>
      </c>
      <c r="Q32" s="410"/>
      <c r="R32" s="410"/>
    </row>
    <row r="33" spans="1:18" ht="12.75">
      <c r="A33" s="274">
        <v>24</v>
      </c>
      <c r="B33" s="409" t="s">
        <v>231</v>
      </c>
      <c r="C33" s="410">
        <f t="shared" si="1"/>
        <v>1201</v>
      </c>
      <c r="D33" s="410"/>
      <c r="E33" s="410"/>
      <c r="F33" s="410"/>
      <c r="G33" s="410"/>
      <c r="H33" s="410"/>
      <c r="I33" s="410"/>
      <c r="J33" s="410"/>
      <c r="K33" s="410"/>
      <c r="L33" s="410"/>
      <c r="M33" s="410"/>
      <c r="N33" s="410"/>
      <c r="O33" s="410"/>
      <c r="P33" s="410">
        <v>1201</v>
      </c>
      <c r="Q33" s="410"/>
      <c r="R33" s="410"/>
    </row>
    <row r="34" spans="1:18" ht="12.75">
      <c r="A34" s="274">
        <v>25</v>
      </c>
      <c r="B34" s="409" t="s">
        <v>232</v>
      </c>
      <c r="C34" s="410">
        <f t="shared" si="1"/>
        <v>989</v>
      </c>
      <c r="D34" s="410"/>
      <c r="E34" s="410"/>
      <c r="F34" s="410"/>
      <c r="G34" s="410"/>
      <c r="H34" s="410"/>
      <c r="I34" s="410"/>
      <c r="J34" s="410"/>
      <c r="K34" s="410"/>
      <c r="L34" s="410"/>
      <c r="M34" s="410"/>
      <c r="N34" s="410"/>
      <c r="O34" s="410"/>
      <c r="P34" s="410">
        <v>989</v>
      </c>
      <c r="Q34" s="410"/>
      <c r="R34" s="410"/>
    </row>
    <row r="35" spans="1:18" ht="12.75">
      <c r="A35" s="274">
        <v>26</v>
      </c>
      <c r="B35" s="409" t="s">
        <v>267</v>
      </c>
      <c r="C35" s="410">
        <f t="shared" si="1"/>
        <v>9259</v>
      </c>
      <c r="D35" s="410">
        <v>9259</v>
      </c>
      <c r="E35" s="410"/>
      <c r="F35" s="410"/>
      <c r="G35" s="410"/>
      <c r="H35" s="410"/>
      <c r="I35" s="410"/>
      <c r="J35" s="410"/>
      <c r="K35" s="410"/>
      <c r="L35" s="410"/>
      <c r="M35" s="410"/>
      <c r="N35" s="410"/>
      <c r="O35" s="410"/>
      <c r="P35" s="410"/>
      <c r="Q35" s="410"/>
      <c r="R35" s="410"/>
    </row>
    <row r="36" spans="1:18" ht="12.75">
      <c r="A36" s="274">
        <v>27</v>
      </c>
      <c r="B36" s="409" t="s">
        <v>268</v>
      </c>
      <c r="C36" s="410">
        <f t="shared" si="1"/>
        <v>7708</v>
      </c>
      <c r="D36" s="410">
        <v>7708</v>
      </c>
      <c r="E36" s="410"/>
      <c r="F36" s="410"/>
      <c r="G36" s="410"/>
      <c r="H36" s="410"/>
      <c r="I36" s="410"/>
      <c r="J36" s="410"/>
      <c r="K36" s="410"/>
      <c r="L36" s="410"/>
      <c r="M36" s="410"/>
      <c r="N36" s="410"/>
      <c r="O36" s="410"/>
      <c r="P36" s="410"/>
      <c r="Q36" s="410"/>
      <c r="R36" s="410"/>
    </row>
    <row r="37" spans="1:18" ht="12.75">
      <c r="A37" s="274">
        <v>28</v>
      </c>
      <c r="B37" s="409" t="s">
        <v>269</v>
      </c>
      <c r="C37" s="410">
        <f t="shared" si="1"/>
        <v>5845</v>
      </c>
      <c r="D37" s="410">
        <v>5845</v>
      </c>
      <c r="E37" s="410"/>
      <c r="F37" s="410"/>
      <c r="G37" s="410"/>
      <c r="H37" s="410"/>
      <c r="I37" s="410"/>
      <c r="J37" s="410"/>
      <c r="K37" s="410"/>
      <c r="L37" s="410"/>
      <c r="M37" s="410"/>
      <c r="N37" s="410"/>
      <c r="O37" s="410"/>
      <c r="P37" s="410"/>
      <c r="Q37" s="410"/>
      <c r="R37" s="410"/>
    </row>
    <row r="38" spans="1:18" ht="12.75">
      <c r="A38" s="274">
        <v>29</v>
      </c>
      <c r="B38" s="409" t="s">
        <v>270</v>
      </c>
      <c r="C38" s="410">
        <f t="shared" si="1"/>
        <v>7739</v>
      </c>
      <c r="D38" s="410">
        <v>7739</v>
      </c>
      <c r="E38" s="410"/>
      <c r="F38" s="410"/>
      <c r="G38" s="410"/>
      <c r="H38" s="410"/>
      <c r="I38" s="410"/>
      <c r="J38" s="410"/>
      <c r="K38" s="410"/>
      <c r="L38" s="410"/>
      <c r="M38" s="410"/>
      <c r="N38" s="410"/>
      <c r="O38" s="410"/>
      <c r="P38" s="410"/>
      <c r="Q38" s="410"/>
      <c r="R38" s="410"/>
    </row>
    <row r="39" spans="1:18" ht="12.75">
      <c r="A39" s="274">
        <v>30</v>
      </c>
      <c r="B39" s="409" t="s">
        <v>271</v>
      </c>
      <c r="C39" s="410">
        <f t="shared" si="1"/>
        <v>7851</v>
      </c>
      <c r="D39" s="410">
        <v>7851</v>
      </c>
      <c r="E39" s="410"/>
      <c r="F39" s="410"/>
      <c r="G39" s="410"/>
      <c r="H39" s="410"/>
      <c r="I39" s="410"/>
      <c r="J39" s="410"/>
      <c r="K39" s="410"/>
      <c r="L39" s="410"/>
      <c r="M39" s="410"/>
      <c r="N39" s="410"/>
      <c r="O39" s="410"/>
      <c r="P39" s="410"/>
      <c r="Q39" s="410"/>
      <c r="R39" s="410"/>
    </row>
    <row r="40" spans="1:18" ht="12.75">
      <c r="A40" s="274">
        <v>31</v>
      </c>
      <c r="B40" s="409" t="s">
        <v>272</v>
      </c>
      <c r="C40" s="410">
        <f t="shared" si="1"/>
        <v>11588</v>
      </c>
      <c r="D40" s="410">
        <v>11588</v>
      </c>
      <c r="E40" s="410"/>
      <c r="F40" s="410"/>
      <c r="G40" s="410"/>
      <c r="H40" s="410"/>
      <c r="I40" s="410"/>
      <c r="J40" s="410"/>
      <c r="K40" s="410"/>
      <c r="L40" s="410"/>
      <c r="M40" s="410"/>
      <c r="N40" s="410"/>
      <c r="O40" s="410"/>
      <c r="P40" s="410"/>
      <c r="Q40" s="410"/>
      <c r="R40" s="410"/>
    </row>
    <row r="41" spans="1:18" ht="12.75">
      <c r="A41" s="274">
        <v>32</v>
      </c>
      <c r="B41" s="409" t="s">
        <v>273</v>
      </c>
      <c r="C41" s="410">
        <f t="shared" si="1"/>
        <v>10976</v>
      </c>
      <c r="D41" s="410">
        <v>10976</v>
      </c>
      <c r="E41" s="410"/>
      <c r="F41" s="410"/>
      <c r="G41" s="410"/>
      <c r="H41" s="410"/>
      <c r="I41" s="410"/>
      <c r="J41" s="410"/>
      <c r="K41" s="410"/>
      <c r="L41" s="410"/>
      <c r="M41" s="410"/>
      <c r="N41" s="410"/>
      <c r="O41" s="410"/>
      <c r="P41" s="410"/>
      <c r="Q41" s="410"/>
      <c r="R41" s="410"/>
    </row>
    <row r="42" spans="1:18" ht="12.75">
      <c r="A42" s="274">
        <v>33</v>
      </c>
      <c r="B42" s="409" t="s">
        <v>274</v>
      </c>
      <c r="C42" s="410">
        <f t="shared" si="1"/>
        <v>7416</v>
      </c>
      <c r="D42" s="410">
        <v>7416</v>
      </c>
      <c r="E42" s="410"/>
      <c r="F42" s="410"/>
      <c r="G42" s="410"/>
      <c r="H42" s="410"/>
      <c r="I42" s="410"/>
      <c r="J42" s="410"/>
      <c r="K42" s="410"/>
      <c r="L42" s="410"/>
      <c r="M42" s="410"/>
      <c r="N42" s="410"/>
      <c r="O42" s="410"/>
      <c r="P42" s="410"/>
      <c r="Q42" s="410"/>
      <c r="R42" s="410"/>
    </row>
    <row r="43" spans="1:18" ht="12.75">
      <c r="A43" s="274">
        <v>34</v>
      </c>
      <c r="B43" s="409" t="s">
        <v>275</v>
      </c>
      <c r="C43" s="410">
        <f t="shared" si="1"/>
        <v>5551</v>
      </c>
      <c r="D43" s="410">
        <v>5551</v>
      </c>
      <c r="E43" s="410"/>
      <c r="F43" s="410"/>
      <c r="G43" s="410"/>
      <c r="H43" s="410"/>
      <c r="I43" s="410"/>
      <c r="J43" s="410"/>
      <c r="K43" s="410"/>
      <c r="L43" s="410"/>
      <c r="M43" s="410"/>
      <c r="N43" s="410"/>
      <c r="O43" s="410"/>
      <c r="P43" s="410"/>
      <c r="Q43" s="410"/>
      <c r="R43" s="410"/>
    </row>
    <row r="44" spans="1:18" ht="12.75">
      <c r="A44" s="274">
        <v>35</v>
      </c>
      <c r="B44" s="409" t="s">
        <v>276</v>
      </c>
      <c r="C44" s="410">
        <f t="shared" si="1"/>
        <v>7058</v>
      </c>
      <c r="D44" s="410">
        <v>7058</v>
      </c>
      <c r="E44" s="410"/>
      <c r="F44" s="410"/>
      <c r="G44" s="410"/>
      <c r="H44" s="410"/>
      <c r="I44" s="410"/>
      <c r="J44" s="410"/>
      <c r="K44" s="410"/>
      <c r="L44" s="410"/>
      <c r="M44" s="410"/>
      <c r="N44" s="410"/>
      <c r="O44" s="410"/>
      <c r="P44" s="410"/>
      <c r="Q44" s="410"/>
      <c r="R44" s="410"/>
    </row>
    <row r="45" spans="1:18" ht="12.75">
      <c r="A45" s="274">
        <v>36</v>
      </c>
      <c r="B45" s="409" t="s">
        <v>277</v>
      </c>
      <c r="C45" s="410">
        <f t="shared" si="1"/>
        <v>5893</v>
      </c>
      <c r="D45" s="410">
        <v>5893</v>
      </c>
      <c r="E45" s="410"/>
      <c r="F45" s="410"/>
      <c r="G45" s="410"/>
      <c r="H45" s="410"/>
      <c r="I45" s="410"/>
      <c r="J45" s="410"/>
      <c r="K45" s="410"/>
      <c r="L45" s="410"/>
      <c r="M45" s="410"/>
      <c r="N45" s="410"/>
      <c r="O45" s="410"/>
      <c r="P45" s="410"/>
      <c r="Q45" s="410"/>
      <c r="R45" s="410"/>
    </row>
    <row r="46" spans="1:18" ht="12.75">
      <c r="A46" s="274">
        <v>37</v>
      </c>
      <c r="B46" s="409" t="s">
        <v>278</v>
      </c>
      <c r="C46" s="410">
        <f t="shared" si="1"/>
        <v>4938</v>
      </c>
      <c r="D46" s="410">
        <v>4938</v>
      </c>
      <c r="E46" s="410"/>
      <c r="F46" s="410"/>
      <c r="G46" s="410"/>
      <c r="H46" s="410"/>
      <c r="I46" s="410"/>
      <c r="J46" s="410"/>
      <c r="K46" s="410"/>
      <c r="L46" s="410"/>
      <c r="M46" s="410"/>
      <c r="N46" s="410"/>
      <c r="O46" s="410"/>
      <c r="P46" s="410"/>
      <c r="Q46" s="410"/>
      <c r="R46" s="410"/>
    </row>
    <row r="47" spans="1:18" ht="12.75">
      <c r="A47" s="274">
        <v>38</v>
      </c>
      <c r="B47" s="409" t="s">
        <v>279</v>
      </c>
      <c r="C47" s="410">
        <f t="shared" si="1"/>
        <v>5863</v>
      </c>
      <c r="D47" s="410">
        <v>5863</v>
      </c>
      <c r="E47" s="410"/>
      <c r="F47" s="410"/>
      <c r="G47" s="410"/>
      <c r="H47" s="410"/>
      <c r="I47" s="410"/>
      <c r="J47" s="410"/>
      <c r="K47" s="410"/>
      <c r="L47" s="410"/>
      <c r="M47" s="410"/>
      <c r="N47" s="410"/>
      <c r="O47" s="410"/>
      <c r="P47" s="410"/>
      <c r="Q47" s="410"/>
      <c r="R47" s="410"/>
    </row>
    <row r="48" spans="1:18" ht="12.75">
      <c r="A48" s="274">
        <v>39</v>
      </c>
      <c r="B48" s="409" t="s">
        <v>280</v>
      </c>
      <c r="C48" s="410">
        <f t="shared" si="1"/>
        <v>6311</v>
      </c>
      <c r="D48" s="410">
        <v>6311</v>
      </c>
      <c r="E48" s="410"/>
      <c r="F48" s="410"/>
      <c r="G48" s="410"/>
      <c r="H48" s="410"/>
      <c r="I48" s="410"/>
      <c r="J48" s="410"/>
      <c r="K48" s="410"/>
      <c r="L48" s="410"/>
      <c r="M48" s="410"/>
      <c r="N48" s="410"/>
      <c r="O48" s="410"/>
      <c r="P48" s="410"/>
      <c r="Q48" s="410"/>
      <c r="R48" s="410"/>
    </row>
    <row r="49" spans="1:18" ht="12.75">
      <c r="A49" s="274">
        <v>40</v>
      </c>
      <c r="B49" s="409" t="s">
        <v>281</v>
      </c>
      <c r="C49" s="410">
        <f t="shared" si="1"/>
        <v>5883</v>
      </c>
      <c r="D49" s="410">
        <v>5883</v>
      </c>
      <c r="E49" s="410"/>
      <c r="F49" s="410"/>
      <c r="G49" s="410"/>
      <c r="H49" s="410"/>
      <c r="I49" s="410"/>
      <c r="J49" s="410"/>
      <c r="K49" s="410"/>
      <c r="L49" s="410"/>
      <c r="M49" s="410"/>
      <c r="N49" s="410"/>
      <c r="O49" s="410"/>
      <c r="P49" s="410"/>
      <c r="Q49" s="410"/>
      <c r="R49" s="410"/>
    </row>
    <row r="50" spans="1:18" ht="12.75">
      <c r="A50" s="274">
        <v>41</v>
      </c>
      <c r="B50" s="409" t="s">
        <v>282</v>
      </c>
      <c r="C50" s="410">
        <f t="shared" si="1"/>
        <v>5376</v>
      </c>
      <c r="D50" s="410">
        <v>5376</v>
      </c>
      <c r="E50" s="410"/>
      <c r="F50" s="410"/>
      <c r="G50" s="410"/>
      <c r="H50" s="410"/>
      <c r="I50" s="410"/>
      <c r="J50" s="410"/>
      <c r="K50" s="410"/>
      <c r="L50" s="410"/>
      <c r="M50" s="410"/>
      <c r="N50" s="410"/>
      <c r="O50" s="410"/>
      <c r="P50" s="410"/>
      <c r="Q50" s="410"/>
      <c r="R50" s="410"/>
    </row>
    <row r="51" spans="1:18" ht="12.75">
      <c r="A51" s="274">
        <v>42</v>
      </c>
      <c r="B51" s="409" t="s">
        <v>297</v>
      </c>
      <c r="C51" s="410">
        <f t="shared" si="1"/>
        <v>6063</v>
      </c>
      <c r="D51" s="410">
        <v>6063</v>
      </c>
      <c r="E51" s="410"/>
      <c r="F51" s="410"/>
      <c r="G51" s="410"/>
      <c r="H51" s="410"/>
      <c r="I51" s="410"/>
      <c r="J51" s="410"/>
      <c r="K51" s="410"/>
      <c r="L51" s="410"/>
      <c r="M51" s="410"/>
      <c r="N51" s="410"/>
      <c r="O51" s="410"/>
      <c r="P51" s="410"/>
      <c r="Q51" s="410"/>
      <c r="R51" s="410"/>
    </row>
    <row r="52" spans="1:18" ht="12.75">
      <c r="A52" s="274">
        <v>43</v>
      </c>
      <c r="B52" s="409" t="s">
        <v>283</v>
      </c>
      <c r="C52" s="410">
        <f t="shared" si="1"/>
        <v>7179</v>
      </c>
      <c r="D52" s="410">
        <v>7179</v>
      </c>
      <c r="E52" s="410"/>
      <c r="F52" s="410"/>
      <c r="G52" s="410"/>
      <c r="H52" s="410"/>
      <c r="I52" s="410"/>
      <c r="J52" s="410"/>
      <c r="K52" s="410"/>
      <c r="L52" s="410"/>
      <c r="M52" s="410"/>
      <c r="N52" s="410"/>
      <c r="O52" s="410"/>
      <c r="P52" s="410"/>
      <c r="Q52" s="410"/>
      <c r="R52" s="410"/>
    </row>
    <row r="53" spans="1:18" ht="12.75">
      <c r="A53" s="274">
        <v>44</v>
      </c>
      <c r="B53" s="409" t="s">
        <v>405</v>
      </c>
      <c r="C53" s="410">
        <f t="shared" si="1"/>
        <v>6477</v>
      </c>
      <c r="D53" s="410">
        <v>6477</v>
      </c>
      <c r="E53" s="410"/>
      <c r="F53" s="410"/>
      <c r="G53" s="410"/>
      <c r="H53" s="410"/>
      <c r="I53" s="410"/>
      <c r="J53" s="410"/>
      <c r="K53" s="410"/>
      <c r="L53" s="410"/>
      <c r="M53" s="410"/>
      <c r="N53" s="410"/>
      <c r="O53" s="410"/>
      <c r="P53" s="410"/>
      <c r="Q53" s="410"/>
      <c r="R53" s="410"/>
    </row>
    <row r="54" spans="1:18" ht="12.75">
      <c r="A54" s="274">
        <v>45</v>
      </c>
      <c r="B54" s="409" t="s">
        <v>422</v>
      </c>
      <c r="C54" s="410">
        <f t="shared" si="1"/>
        <v>7382</v>
      </c>
      <c r="D54" s="410">
        <v>7382</v>
      </c>
      <c r="E54" s="410"/>
      <c r="F54" s="410"/>
      <c r="G54" s="410"/>
      <c r="H54" s="410"/>
      <c r="I54" s="410"/>
      <c r="J54" s="410"/>
      <c r="K54" s="410"/>
      <c r="L54" s="410"/>
      <c r="M54" s="410"/>
      <c r="N54" s="410"/>
      <c r="O54" s="410"/>
      <c r="P54" s="410"/>
      <c r="Q54" s="410"/>
      <c r="R54" s="410"/>
    </row>
    <row r="55" spans="1:18" ht="12.75">
      <c r="A55" s="274">
        <v>46</v>
      </c>
      <c r="B55" s="409" t="s">
        <v>406</v>
      </c>
      <c r="C55" s="410">
        <f t="shared" si="1"/>
        <v>17672</v>
      </c>
      <c r="D55" s="410">
        <v>17672</v>
      </c>
      <c r="E55" s="410"/>
      <c r="F55" s="410"/>
      <c r="G55" s="410"/>
      <c r="H55" s="410"/>
      <c r="I55" s="410"/>
      <c r="J55" s="410"/>
      <c r="K55" s="410"/>
      <c r="L55" s="410"/>
      <c r="M55" s="410"/>
      <c r="N55" s="410"/>
      <c r="O55" s="410"/>
      <c r="P55" s="410"/>
      <c r="Q55" s="410"/>
      <c r="R55" s="410"/>
    </row>
    <row r="56" spans="1:18" ht="12.75">
      <c r="A56" s="274">
        <v>47</v>
      </c>
      <c r="B56" s="409" t="s">
        <v>420</v>
      </c>
      <c r="C56" s="410">
        <f t="shared" si="1"/>
        <v>9728</v>
      </c>
      <c r="D56" s="410">
        <v>9728</v>
      </c>
      <c r="E56" s="410"/>
      <c r="F56" s="410"/>
      <c r="G56" s="410"/>
      <c r="H56" s="410"/>
      <c r="I56" s="410"/>
      <c r="J56" s="410"/>
      <c r="K56" s="410"/>
      <c r="L56" s="410"/>
      <c r="M56" s="410"/>
      <c r="N56" s="410"/>
      <c r="O56" s="410"/>
      <c r="P56" s="410"/>
      <c r="Q56" s="410"/>
      <c r="R56" s="410"/>
    </row>
    <row r="57" spans="1:18" ht="12.75">
      <c r="A57" s="274">
        <v>48</v>
      </c>
      <c r="B57" s="409" t="s">
        <v>414</v>
      </c>
      <c r="C57" s="410">
        <f t="shared" si="1"/>
        <v>8766</v>
      </c>
      <c r="D57" s="410">
        <v>8766</v>
      </c>
      <c r="E57" s="410"/>
      <c r="F57" s="410"/>
      <c r="G57" s="410"/>
      <c r="H57" s="410"/>
      <c r="I57" s="410"/>
      <c r="J57" s="410"/>
      <c r="K57" s="410"/>
      <c r="L57" s="410"/>
      <c r="M57" s="410"/>
      <c r="N57" s="410"/>
      <c r="O57" s="410"/>
      <c r="P57" s="410"/>
      <c r="Q57" s="410"/>
      <c r="R57" s="410"/>
    </row>
    <row r="58" spans="1:18" ht="12.75">
      <c r="A58" s="274">
        <v>49</v>
      </c>
      <c r="B58" s="409" t="s">
        <v>419</v>
      </c>
      <c r="C58" s="410">
        <f t="shared" si="1"/>
        <v>8568</v>
      </c>
      <c r="D58" s="410">
        <v>8568</v>
      </c>
      <c r="E58" s="410"/>
      <c r="F58" s="410"/>
      <c r="G58" s="410"/>
      <c r="H58" s="410"/>
      <c r="I58" s="410"/>
      <c r="J58" s="410"/>
      <c r="K58" s="410"/>
      <c r="L58" s="410"/>
      <c r="M58" s="410"/>
      <c r="N58" s="410"/>
      <c r="O58" s="410"/>
      <c r="P58" s="410"/>
      <c r="Q58" s="410"/>
      <c r="R58" s="410"/>
    </row>
    <row r="59" spans="1:18" ht="12.75">
      <c r="A59" s="274">
        <v>50</v>
      </c>
      <c r="B59" s="409" t="s">
        <v>444</v>
      </c>
      <c r="C59" s="410">
        <f t="shared" si="1"/>
        <v>16730</v>
      </c>
      <c r="D59" s="410">
        <v>16730</v>
      </c>
      <c r="E59" s="410"/>
      <c r="F59" s="410"/>
      <c r="G59" s="410"/>
      <c r="H59" s="410"/>
      <c r="I59" s="410"/>
      <c r="J59" s="410"/>
      <c r="K59" s="410"/>
      <c r="L59" s="410"/>
      <c r="M59" s="410"/>
      <c r="N59" s="410"/>
      <c r="O59" s="410"/>
      <c r="P59" s="410"/>
      <c r="Q59" s="410"/>
      <c r="R59" s="410"/>
    </row>
    <row r="60" spans="1:18" ht="12.75">
      <c r="A60" s="274">
        <v>51</v>
      </c>
      <c r="B60" s="409" t="s">
        <v>407</v>
      </c>
      <c r="C60" s="410">
        <f t="shared" si="1"/>
        <v>9732</v>
      </c>
      <c r="D60" s="410">
        <v>9732</v>
      </c>
      <c r="E60" s="410"/>
      <c r="F60" s="410"/>
      <c r="G60" s="410"/>
      <c r="H60" s="410"/>
      <c r="I60" s="410"/>
      <c r="J60" s="410"/>
      <c r="K60" s="410"/>
      <c r="L60" s="410"/>
      <c r="M60" s="410"/>
      <c r="N60" s="410"/>
      <c r="O60" s="410"/>
      <c r="P60" s="410"/>
      <c r="Q60" s="410"/>
      <c r="R60" s="410"/>
    </row>
    <row r="61" spans="1:18" ht="12.75">
      <c r="A61" s="274">
        <v>52</v>
      </c>
      <c r="B61" s="409" t="s">
        <v>417</v>
      </c>
      <c r="C61" s="410">
        <f t="shared" si="1"/>
        <v>7437</v>
      </c>
      <c r="D61" s="410">
        <v>7437</v>
      </c>
      <c r="E61" s="410"/>
      <c r="F61" s="410"/>
      <c r="G61" s="410"/>
      <c r="H61" s="410"/>
      <c r="I61" s="410"/>
      <c r="J61" s="410"/>
      <c r="K61" s="410"/>
      <c r="L61" s="410"/>
      <c r="M61" s="410"/>
      <c r="N61" s="410"/>
      <c r="O61" s="410"/>
      <c r="P61" s="410"/>
      <c r="Q61" s="410"/>
      <c r="R61" s="410"/>
    </row>
    <row r="62" spans="1:18" ht="12.75">
      <c r="A62" s="274">
        <v>53</v>
      </c>
      <c r="B62" s="409" t="s">
        <v>408</v>
      </c>
      <c r="C62" s="410">
        <f t="shared" si="1"/>
        <v>9768</v>
      </c>
      <c r="D62" s="410">
        <v>9768</v>
      </c>
      <c r="E62" s="410"/>
      <c r="F62" s="410"/>
      <c r="G62" s="410"/>
      <c r="H62" s="410"/>
      <c r="I62" s="410"/>
      <c r="J62" s="410"/>
      <c r="K62" s="410"/>
      <c r="L62" s="410"/>
      <c r="M62" s="410"/>
      <c r="N62" s="410"/>
      <c r="O62" s="410"/>
      <c r="P62" s="410"/>
      <c r="Q62" s="410"/>
      <c r="R62" s="410"/>
    </row>
    <row r="63" spans="1:18" ht="12.75">
      <c r="A63" s="274">
        <v>54</v>
      </c>
      <c r="B63" s="409" t="s">
        <v>415</v>
      </c>
      <c r="C63" s="410">
        <f t="shared" si="1"/>
        <v>8780</v>
      </c>
      <c r="D63" s="410">
        <v>8780</v>
      </c>
      <c r="E63" s="410"/>
      <c r="F63" s="410"/>
      <c r="G63" s="410"/>
      <c r="H63" s="410"/>
      <c r="I63" s="410"/>
      <c r="J63" s="410"/>
      <c r="K63" s="410"/>
      <c r="L63" s="410"/>
      <c r="M63" s="410"/>
      <c r="N63" s="410"/>
      <c r="O63" s="410"/>
      <c r="P63" s="410"/>
      <c r="Q63" s="410"/>
      <c r="R63" s="410"/>
    </row>
    <row r="64" spans="1:18" ht="12.75">
      <c r="A64" s="274">
        <v>55</v>
      </c>
      <c r="B64" s="409" t="s">
        <v>409</v>
      </c>
      <c r="C64" s="410">
        <f t="shared" si="1"/>
        <v>10041</v>
      </c>
      <c r="D64" s="410">
        <v>10041</v>
      </c>
      <c r="E64" s="410"/>
      <c r="F64" s="410"/>
      <c r="G64" s="410"/>
      <c r="H64" s="410"/>
      <c r="I64" s="410"/>
      <c r="J64" s="410"/>
      <c r="K64" s="410"/>
      <c r="L64" s="410"/>
      <c r="M64" s="410"/>
      <c r="N64" s="410"/>
      <c r="O64" s="410"/>
      <c r="P64" s="410"/>
      <c r="Q64" s="410"/>
      <c r="R64" s="410"/>
    </row>
    <row r="65" spans="1:18" ht="12.75">
      <c r="A65" s="274">
        <v>56</v>
      </c>
      <c r="B65" s="409" t="s">
        <v>416</v>
      </c>
      <c r="C65" s="410">
        <f t="shared" si="1"/>
        <v>6774</v>
      </c>
      <c r="D65" s="410">
        <v>6774</v>
      </c>
      <c r="E65" s="410"/>
      <c r="F65" s="410"/>
      <c r="G65" s="410"/>
      <c r="H65" s="410"/>
      <c r="I65" s="410"/>
      <c r="J65" s="410"/>
      <c r="K65" s="410"/>
      <c r="L65" s="410"/>
      <c r="M65" s="410"/>
      <c r="N65" s="410"/>
      <c r="O65" s="410"/>
      <c r="P65" s="410"/>
      <c r="Q65" s="410"/>
      <c r="R65" s="410"/>
    </row>
    <row r="66" spans="1:18" ht="12.75">
      <c r="A66" s="274">
        <v>57</v>
      </c>
      <c r="B66" s="409" t="s">
        <v>410</v>
      </c>
      <c r="C66" s="410">
        <f t="shared" si="1"/>
        <v>8848</v>
      </c>
      <c r="D66" s="410">
        <v>8848</v>
      </c>
      <c r="E66" s="410"/>
      <c r="F66" s="410"/>
      <c r="G66" s="410"/>
      <c r="H66" s="410"/>
      <c r="I66" s="410"/>
      <c r="J66" s="410"/>
      <c r="K66" s="410"/>
      <c r="L66" s="410"/>
      <c r="M66" s="410"/>
      <c r="N66" s="410"/>
      <c r="O66" s="410"/>
      <c r="P66" s="410"/>
      <c r="Q66" s="410"/>
      <c r="R66" s="410"/>
    </row>
    <row r="67" spans="1:18" ht="12.75">
      <c r="A67" s="274">
        <v>58</v>
      </c>
      <c r="B67" s="409" t="s">
        <v>404</v>
      </c>
      <c r="C67" s="410">
        <f t="shared" si="1"/>
        <v>4686</v>
      </c>
      <c r="D67" s="410">
        <v>4686</v>
      </c>
      <c r="E67" s="410"/>
      <c r="F67" s="410"/>
      <c r="G67" s="410"/>
      <c r="H67" s="410"/>
      <c r="I67" s="410"/>
      <c r="J67" s="410"/>
      <c r="K67" s="410"/>
      <c r="L67" s="410"/>
      <c r="M67" s="410"/>
      <c r="N67" s="410"/>
      <c r="O67" s="410"/>
      <c r="P67" s="410"/>
      <c r="Q67" s="410"/>
      <c r="R67" s="410"/>
    </row>
    <row r="68" spans="1:18" ht="12.75">
      <c r="A68" s="274">
        <v>59</v>
      </c>
      <c r="B68" s="409" t="s">
        <v>411</v>
      </c>
      <c r="C68" s="410">
        <f t="shared" si="1"/>
        <v>13295</v>
      </c>
      <c r="D68" s="410">
        <v>13295</v>
      </c>
      <c r="E68" s="410"/>
      <c r="F68" s="410"/>
      <c r="G68" s="410"/>
      <c r="H68" s="410"/>
      <c r="I68" s="410"/>
      <c r="J68" s="410"/>
      <c r="K68" s="410"/>
      <c r="L68" s="410"/>
      <c r="M68" s="410"/>
      <c r="N68" s="410"/>
      <c r="O68" s="410"/>
      <c r="P68" s="410"/>
      <c r="Q68" s="410"/>
      <c r="R68" s="410"/>
    </row>
    <row r="69" spans="1:18" ht="12.75">
      <c r="A69" s="274">
        <v>60</v>
      </c>
      <c r="B69" s="409" t="s">
        <v>412</v>
      </c>
      <c r="C69" s="410">
        <f t="shared" si="1"/>
        <v>11437</v>
      </c>
      <c r="D69" s="410">
        <v>11437</v>
      </c>
      <c r="E69" s="410"/>
      <c r="F69" s="410"/>
      <c r="G69" s="410"/>
      <c r="H69" s="410"/>
      <c r="I69" s="410"/>
      <c r="J69" s="410"/>
      <c r="K69" s="410"/>
      <c r="L69" s="410"/>
      <c r="M69" s="410"/>
      <c r="N69" s="410"/>
      <c r="O69" s="410"/>
      <c r="P69" s="410"/>
      <c r="Q69" s="410"/>
      <c r="R69" s="410"/>
    </row>
    <row r="70" spans="1:18" ht="12.75">
      <c r="A70" s="274">
        <v>61</v>
      </c>
      <c r="B70" s="409" t="s">
        <v>421</v>
      </c>
      <c r="C70" s="410">
        <f t="shared" si="1"/>
        <v>6459</v>
      </c>
      <c r="D70" s="410">
        <v>6459</v>
      </c>
      <c r="E70" s="410"/>
      <c r="F70" s="410"/>
      <c r="G70" s="410"/>
      <c r="H70" s="410"/>
      <c r="I70" s="410"/>
      <c r="J70" s="410"/>
      <c r="K70" s="410"/>
      <c r="L70" s="410"/>
      <c r="M70" s="410"/>
      <c r="N70" s="410"/>
      <c r="O70" s="410"/>
      <c r="P70" s="410"/>
      <c r="Q70" s="410"/>
      <c r="R70" s="410"/>
    </row>
    <row r="71" spans="1:18" ht="12.75">
      <c r="A71" s="274">
        <v>62</v>
      </c>
      <c r="B71" s="409" t="s">
        <v>413</v>
      </c>
      <c r="C71" s="410">
        <f t="shared" si="1"/>
        <v>10872</v>
      </c>
      <c r="D71" s="410">
        <v>10872</v>
      </c>
      <c r="E71" s="410"/>
      <c r="F71" s="410"/>
      <c r="G71" s="410"/>
      <c r="H71" s="410"/>
      <c r="I71" s="410"/>
      <c r="J71" s="410"/>
      <c r="K71" s="410"/>
      <c r="L71" s="410"/>
      <c r="M71" s="410"/>
      <c r="N71" s="410"/>
      <c r="O71" s="410"/>
      <c r="P71" s="410"/>
      <c r="Q71" s="410"/>
      <c r="R71" s="410"/>
    </row>
    <row r="72" spans="1:18" ht="12.75">
      <c r="A72" s="274">
        <v>63</v>
      </c>
      <c r="B72" s="409" t="s">
        <v>418</v>
      </c>
      <c r="C72" s="410">
        <f t="shared" si="1"/>
        <v>7478</v>
      </c>
      <c r="D72" s="410">
        <v>7478</v>
      </c>
      <c r="E72" s="410"/>
      <c r="F72" s="410"/>
      <c r="G72" s="410"/>
      <c r="H72" s="410"/>
      <c r="I72" s="410"/>
      <c r="J72" s="410"/>
      <c r="K72" s="410"/>
      <c r="L72" s="410"/>
      <c r="M72" s="410"/>
      <c r="N72" s="410"/>
      <c r="O72" s="410"/>
      <c r="P72" s="410"/>
      <c r="Q72" s="410"/>
      <c r="R72" s="410"/>
    </row>
    <row r="73" spans="1:18" ht="12.75">
      <c r="A73" s="274">
        <v>64</v>
      </c>
      <c r="B73" s="409" t="s">
        <v>445</v>
      </c>
      <c r="C73" s="410">
        <f t="shared" si="1"/>
        <v>12900</v>
      </c>
      <c r="D73" s="410">
        <v>12900</v>
      </c>
      <c r="E73" s="410"/>
      <c r="F73" s="410"/>
      <c r="G73" s="410"/>
      <c r="H73" s="410"/>
      <c r="I73" s="410"/>
      <c r="J73" s="410"/>
      <c r="K73" s="410"/>
      <c r="L73" s="410"/>
      <c r="M73" s="410"/>
      <c r="N73" s="410"/>
      <c r="O73" s="410"/>
      <c r="P73" s="410"/>
      <c r="Q73" s="410"/>
      <c r="R73" s="410"/>
    </row>
    <row r="74" spans="1:18" ht="12.75">
      <c r="A74" s="274">
        <v>65</v>
      </c>
      <c r="B74" s="409" t="s">
        <v>284</v>
      </c>
      <c r="C74" s="410">
        <f aca="true" t="shared" si="2" ref="C74:C121">SUM(D74:M74,P74:R74)</f>
        <v>2905</v>
      </c>
      <c r="D74" s="410">
        <v>2905</v>
      </c>
      <c r="E74" s="410"/>
      <c r="F74" s="410"/>
      <c r="G74" s="410"/>
      <c r="H74" s="410"/>
      <c r="I74" s="410"/>
      <c r="J74" s="410"/>
      <c r="K74" s="410"/>
      <c r="L74" s="410"/>
      <c r="M74" s="410"/>
      <c r="N74" s="410"/>
      <c r="O74" s="410"/>
      <c r="P74" s="410"/>
      <c r="Q74" s="410"/>
      <c r="R74" s="410"/>
    </row>
    <row r="75" spans="1:18" ht="12.75">
      <c r="A75" s="274">
        <v>66</v>
      </c>
      <c r="B75" s="409" t="s">
        <v>286</v>
      </c>
      <c r="C75" s="410">
        <f t="shared" si="2"/>
        <v>12860</v>
      </c>
      <c r="D75" s="410">
        <v>12860</v>
      </c>
      <c r="E75" s="410"/>
      <c r="F75" s="410"/>
      <c r="G75" s="410"/>
      <c r="H75" s="410"/>
      <c r="I75" s="410"/>
      <c r="J75" s="410"/>
      <c r="K75" s="410"/>
      <c r="L75" s="410"/>
      <c r="M75" s="410"/>
      <c r="N75" s="410"/>
      <c r="O75" s="410"/>
      <c r="P75" s="410"/>
      <c r="Q75" s="410"/>
      <c r="R75" s="410"/>
    </row>
    <row r="76" spans="1:18" ht="12.75">
      <c r="A76" s="274">
        <v>67</v>
      </c>
      <c r="B76" s="409" t="s">
        <v>285</v>
      </c>
      <c r="C76" s="410">
        <f t="shared" si="2"/>
        <v>7333</v>
      </c>
      <c r="D76" s="410">
        <v>7333</v>
      </c>
      <c r="E76" s="410"/>
      <c r="F76" s="410"/>
      <c r="G76" s="410"/>
      <c r="H76" s="410"/>
      <c r="I76" s="410"/>
      <c r="J76" s="410"/>
      <c r="K76" s="410"/>
      <c r="L76" s="410"/>
      <c r="M76" s="410"/>
      <c r="N76" s="410"/>
      <c r="O76" s="410"/>
      <c r="P76" s="410"/>
      <c r="Q76" s="410"/>
      <c r="R76" s="410"/>
    </row>
    <row r="77" spans="1:18" ht="12.75">
      <c r="A77" s="274">
        <v>68</v>
      </c>
      <c r="B77" s="409" t="s">
        <v>287</v>
      </c>
      <c r="C77" s="410">
        <f t="shared" si="2"/>
        <v>21940</v>
      </c>
      <c r="D77" s="410">
        <v>21940</v>
      </c>
      <c r="E77" s="410"/>
      <c r="F77" s="410"/>
      <c r="G77" s="410"/>
      <c r="H77" s="410"/>
      <c r="I77" s="410"/>
      <c r="J77" s="410"/>
      <c r="K77" s="410"/>
      <c r="L77" s="410"/>
      <c r="M77" s="410"/>
      <c r="N77" s="410"/>
      <c r="O77" s="410"/>
      <c r="P77" s="410"/>
      <c r="Q77" s="410"/>
      <c r="R77" s="410"/>
    </row>
    <row r="78" spans="1:18" ht="12.75">
      <c r="A78" s="274">
        <v>69</v>
      </c>
      <c r="B78" s="409" t="s">
        <v>288</v>
      </c>
      <c r="C78" s="410">
        <f t="shared" si="2"/>
        <v>11897</v>
      </c>
      <c r="D78" s="410">
        <v>11897</v>
      </c>
      <c r="E78" s="410"/>
      <c r="F78" s="410"/>
      <c r="G78" s="410"/>
      <c r="H78" s="410"/>
      <c r="I78" s="410"/>
      <c r="J78" s="410"/>
      <c r="K78" s="410"/>
      <c r="L78" s="410"/>
      <c r="M78" s="410"/>
      <c r="N78" s="410"/>
      <c r="O78" s="410"/>
      <c r="P78" s="410"/>
      <c r="Q78" s="410"/>
      <c r="R78" s="410"/>
    </row>
    <row r="79" spans="1:18" ht="12.75">
      <c r="A79" s="274">
        <v>70</v>
      </c>
      <c r="B79" s="409" t="s">
        <v>397</v>
      </c>
      <c r="C79" s="410">
        <f t="shared" si="2"/>
        <v>8241</v>
      </c>
      <c r="D79" s="410">
        <v>8241</v>
      </c>
      <c r="E79" s="410"/>
      <c r="F79" s="410"/>
      <c r="G79" s="410"/>
      <c r="H79" s="410"/>
      <c r="I79" s="410"/>
      <c r="J79" s="410"/>
      <c r="K79" s="410"/>
      <c r="L79" s="410"/>
      <c r="M79" s="410"/>
      <c r="N79" s="410"/>
      <c r="O79" s="410"/>
      <c r="P79" s="410"/>
      <c r="Q79" s="410"/>
      <c r="R79" s="410"/>
    </row>
    <row r="80" spans="1:18" ht="12.75">
      <c r="A80" s="274">
        <v>71</v>
      </c>
      <c r="B80" s="409" t="s">
        <v>292</v>
      </c>
      <c r="C80" s="410">
        <f t="shared" si="2"/>
        <v>18997</v>
      </c>
      <c r="D80" s="410">
        <v>18997</v>
      </c>
      <c r="E80" s="410"/>
      <c r="F80" s="410"/>
      <c r="G80" s="410"/>
      <c r="H80" s="410"/>
      <c r="I80" s="410"/>
      <c r="J80" s="410"/>
      <c r="K80" s="410"/>
      <c r="L80" s="410"/>
      <c r="M80" s="410"/>
      <c r="N80" s="410"/>
      <c r="O80" s="410"/>
      <c r="P80" s="410"/>
      <c r="Q80" s="410"/>
      <c r="R80" s="410"/>
    </row>
    <row r="81" spans="1:18" ht="12.75">
      <c r="A81" s="274">
        <v>72</v>
      </c>
      <c r="B81" s="409" t="s">
        <v>291</v>
      </c>
      <c r="C81" s="410">
        <f t="shared" si="2"/>
        <v>13707</v>
      </c>
      <c r="D81" s="410">
        <v>13707</v>
      </c>
      <c r="E81" s="410"/>
      <c r="F81" s="410"/>
      <c r="G81" s="410"/>
      <c r="H81" s="410"/>
      <c r="I81" s="410"/>
      <c r="J81" s="410"/>
      <c r="K81" s="410"/>
      <c r="L81" s="410"/>
      <c r="M81" s="410"/>
      <c r="N81" s="410"/>
      <c r="O81" s="410"/>
      <c r="P81" s="410"/>
      <c r="Q81" s="410"/>
      <c r="R81" s="410"/>
    </row>
    <row r="82" spans="1:18" ht="12.75">
      <c r="A82" s="274">
        <v>73</v>
      </c>
      <c r="B82" s="409" t="s">
        <v>293</v>
      </c>
      <c r="C82" s="410">
        <f t="shared" si="2"/>
        <v>6203</v>
      </c>
      <c r="D82" s="410">
        <v>6203</v>
      </c>
      <c r="E82" s="410"/>
      <c r="F82" s="410"/>
      <c r="G82" s="410"/>
      <c r="H82" s="410"/>
      <c r="I82" s="410"/>
      <c r="J82" s="410"/>
      <c r="K82" s="410"/>
      <c r="L82" s="410"/>
      <c r="M82" s="410"/>
      <c r="N82" s="410"/>
      <c r="O82" s="410"/>
      <c r="P82" s="410"/>
      <c r="Q82" s="410"/>
      <c r="R82" s="410"/>
    </row>
    <row r="83" spans="1:18" ht="12.75">
      <c r="A83" s="274">
        <v>74</v>
      </c>
      <c r="B83" s="409" t="s">
        <v>289</v>
      </c>
      <c r="C83" s="410">
        <f t="shared" si="2"/>
        <v>12288</v>
      </c>
      <c r="D83" s="410">
        <v>12288</v>
      </c>
      <c r="E83" s="410"/>
      <c r="F83" s="410"/>
      <c r="G83" s="410"/>
      <c r="H83" s="410"/>
      <c r="I83" s="410"/>
      <c r="J83" s="410"/>
      <c r="K83" s="410"/>
      <c r="L83" s="410"/>
      <c r="M83" s="410"/>
      <c r="N83" s="410"/>
      <c r="O83" s="410"/>
      <c r="P83" s="410"/>
      <c r="Q83" s="410"/>
      <c r="R83" s="410"/>
    </row>
    <row r="84" spans="1:18" ht="12.75">
      <c r="A84" s="274">
        <v>75</v>
      </c>
      <c r="B84" s="409" t="s">
        <v>290</v>
      </c>
      <c r="C84" s="410">
        <f t="shared" si="2"/>
        <v>12906</v>
      </c>
      <c r="D84" s="410">
        <v>12906</v>
      </c>
      <c r="E84" s="410"/>
      <c r="F84" s="410"/>
      <c r="G84" s="410"/>
      <c r="H84" s="410"/>
      <c r="I84" s="410"/>
      <c r="J84" s="410"/>
      <c r="K84" s="410"/>
      <c r="L84" s="410"/>
      <c r="M84" s="410"/>
      <c r="N84" s="410"/>
      <c r="O84" s="410"/>
      <c r="P84" s="410"/>
      <c r="Q84" s="410"/>
      <c r="R84" s="410"/>
    </row>
    <row r="85" spans="1:18" ht="12.75">
      <c r="A85" s="274">
        <v>76</v>
      </c>
      <c r="B85" s="409" t="s">
        <v>294</v>
      </c>
      <c r="C85" s="410">
        <f t="shared" si="2"/>
        <v>12335</v>
      </c>
      <c r="D85" s="410">
        <v>12335</v>
      </c>
      <c r="E85" s="410"/>
      <c r="F85" s="410"/>
      <c r="G85" s="410"/>
      <c r="H85" s="410"/>
      <c r="I85" s="410"/>
      <c r="J85" s="410"/>
      <c r="K85" s="410"/>
      <c r="L85" s="410"/>
      <c r="M85" s="410"/>
      <c r="N85" s="410"/>
      <c r="O85" s="410"/>
      <c r="P85" s="410"/>
      <c r="Q85" s="410"/>
      <c r="R85" s="410"/>
    </row>
    <row r="86" spans="1:18" ht="12.75">
      <c r="A86" s="274">
        <v>77</v>
      </c>
      <c r="B86" s="409" t="s">
        <v>295</v>
      </c>
      <c r="C86" s="410">
        <f t="shared" si="2"/>
        <v>4616</v>
      </c>
      <c r="D86" s="410">
        <v>4616</v>
      </c>
      <c r="E86" s="410"/>
      <c r="F86" s="410"/>
      <c r="G86" s="410"/>
      <c r="H86" s="410"/>
      <c r="I86" s="410"/>
      <c r="J86" s="410"/>
      <c r="K86" s="410"/>
      <c r="L86" s="410"/>
      <c r="M86" s="410"/>
      <c r="N86" s="410"/>
      <c r="O86" s="410"/>
      <c r="P86" s="410"/>
      <c r="Q86" s="410"/>
      <c r="R86" s="410"/>
    </row>
    <row r="87" spans="1:18" ht="12.75">
      <c r="A87" s="274">
        <v>78</v>
      </c>
      <c r="B87" s="409" t="s">
        <v>296</v>
      </c>
      <c r="C87" s="410">
        <f t="shared" si="2"/>
        <v>4072</v>
      </c>
      <c r="D87" s="410">
        <v>4072</v>
      </c>
      <c r="E87" s="410"/>
      <c r="F87" s="410"/>
      <c r="G87" s="410"/>
      <c r="H87" s="410"/>
      <c r="I87" s="410"/>
      <c r="J87" s="410"/>
      <c r="K87" s="410"/>
      <c r="L87" s="410"/>
      <c r="M87" s="410"/>
      <c r="N87" s="410"/>
      <c r="O87" s="410"/>
      <c r="P87" s="410"/>
      <c r="Q87" s="410"/>
      <c r="R87" s="410"/>
    </row>
    <row r="88" spans="1:18" ht="12.75">
      <c r="A88" s="274">
        <v>79</v>
      </c>
      <c r="B88" s="409" t="s">
        <v>298</v>
      </c>
      <c r="C88" s="410">
        <f>SUM(D88:M88,P88:R88)</f>
        <v>6415</v>
      </c>
      <c r="D88" s="410">
        <v>6415</v>
      </c>
      <c r="E88" s="410"/>
      <c r="F88" s="410"/>
      <c r="G88" s="410"/>
      <c r="H88" s="410"/>
      <c r="I88" s="410"/>
      <c r="J88" s="410"/>
      <c r="K88" s="410"/>
      <c r="L88" s="410"/>
      <c r="M88" s="410"/>
      <c r="N88" s="410"/>
      <c r="O88" s="410"/>
      <c r="P88" s="410"/>
      <c r="Q88" s="410"/>
      <c r="R88" s="410"/>
    </row>
    <row r="89" spans="1:18" ht="12.75">
      <c r="A89" s="274">
        <v>80</v>
      </c>
      <c r="B89" s="409" t="s">
        <v>233</v>
      </c>
      <c r="C89" s="410">
        <f t="shared" si="2"/>
        <v>234</v>
      </c>
      <c r="D89" s="410"/>
      <c r="E89" s="410"/>
      <c r="F89" s="410"/>
      <c r="G89" s="410"/>
      <c r="H89" s="410"/>
      <c r="I89" s="410"/>
      <c r="J89" s="410"/>
      <c r="K89" s="410"/>
      <c r="L89" s="410"/>
      <c r="M89" s="410"/>
      <c r="N89" s="410"/>
      <c r="O89" s="410"/>
      <c r="P89" s="410">
        <v>234</v>
      </c>
      <c r="Q89" s="410"/>
      <c r="R89" s="410"/>
    </row>
    <row r="90" spans="1:18" ht="12.75">
      <c r="A90" s="274">
        <v>81</v>
      </c>
      <c r="B90" s="409" t="s">
        <v>234</v>
      </c>
      <c r="C90" s="410">
        <f t="shared" si="2"/>
        <v>64</v>
      </c>
      <c r="D90" s="410"/>
      <c r="E90" s="410"/>
      <c r="F90" s="410"/>
      <c r="G90" s="410"/>
      <c r="H90" s="410"/>
      <c r="I90" s="410"/>
      <c r="J90" s="410"/>
      <c r="K90" s="410"/>
      <c r="L90" s="410"/>
      <c r="M90" s="410"/>
      <c r="N90" s="410"/>
      <c r="O90" s="410"/>
      <c r="P90" s="410">
        <v>64</v>
      </c>
      <c r="Q90" s="410"/>
      <c r="R90" s="410"/>
    </row>
    <row r="91" spans="1:18" ht="12.75">
      <c r="A91" s="274">
        <v>82</v>
      </c>
      <c r="B91" s="409" t="s">
        <v>235</v>
      </c>
      <c r="C91" s="410">
        <f t="shared" si="2"/>
        <v>263</v>
      </c>
      <c r="D91" s="410"/>
      <c r="E91" s="410"/>
      <c r="F91" s="410"/>
      <c r="G91" s="410"/>
      <c r="H91" s="410"/>
      <c r="I91" s="410"/>
      <c r="J91" s="410"/>
      <c r="K91" s="410"/>
      <c r="L91" s="410"/>
      <c r="M91" s="410"/>
      <c r="N91" s="410"/>
      <c r="O91" s="410"/>
      <c r="P91" s="410">
        <v>263</v>
      </c>
      <c r="Q91" s="410"/>
      <c r="R91" s="410"/>
    </row>
    <row r="92" spans="1:18" ht="12.75">
      <c r="A92" s="274">
        <v>83</v>
      </c>
      <c r="B92" s="409" t="s">
        <v>236</v>
      </c>
      <c r="C92" s="410">
        <f t="shared" si="2"/>
        <v>180</v>
      </c>
      <c r="D92" s="410"/>
      <c r="E92" s="410"/>
      <c r="F92" s="410"/>
      <c r="G92" s="410"/>
      <c r="H92" s="410"/>
      <c r="I92" s="410"/>
      <c r="J92" s="410"/>
      <c r="K92" s="410"/>
      <c r="L92" s="410"/>
      <c r="M92" s="410"/>
      <c r="N92" s="410"/>
      <c r="O92" s="410"/>
      <c r="P92" s="410">
        <v>180</v>
      </c>
      <c r="Q92" s="410"/>
      <c r="R92" s="410"/>
    </row>
    <row r="93" spans="1:18" ht="12.75">
      <c r="A93" s="274">
        <v>84</v>
      </c>
      <c r="B93" s="409" t="s">
        <v>237</v>
      </c>
      <c r="C93" s="410">
        <f t="shared" si="2"/>
        <v>75</v>
      </c>
      <c r="D93" s="410"/>
      <c r="E93" s="410"/>
      <c r="F93" s="410"/>
      <c r="G93" s="410"/>
      <c r="H93" s="410"/>
      <c r="I93" s="410"/>
      <c r="J93" s="410"/>
      <c r="K93" s="410"/>
      <c r="L93" s="410"/>
      <c r="M93" s="410"/>
      <c r="N93" s="410"/>
      <c r="O93" s="410"/>
      <c r="P93" s="410">
        <v>75</v>
      </c>
      <c r="Q93" s="410"/>
      <c r="R93" s="410"/>
    </row>
    <row r="94" spans="1:18" ht="12.75">
      <c r="A94" s="274">
        <v>85</v>
      </c>
      <c r="B94" s="409" t="s">
        <v>238</v>
      </c>
      <c r="C94" s="410">
        <f t="shared" si="2"/>
        <v>40</v>
      </c>
      <c r="D94" s="410"/>
      <c r="E94" s="410"/>
      <c r="F94" s="410"/>
      <c r="G94" s="410"/>
      <c r="H94" s="410"/>
      <c r="I94" s="410"/>
      <c r="J94" s="410"/>
      <c r="K94" s="410"/>
      <c r="L94" s="410"/>
      <c r="M94" s="410"/>
      <c r="N94" s="410"/>
      <c r="O94" s="410"/>
      <c r="P94" s="410">
        <v>40</v>
      </c>
      <c r="Q94" s="410"/>
      <c r="R94" s="410"/>
    </row>
    <row r="95" spans="1:18" ht="12.75">
      <c r="A95" s="274">
        <v>86</v>
      </c>
      <c r="B95" s="409" t="s">
        <v>239</v>
      </c>
      <c r="C95" s="410">
        <f t="shared" si="2"/>
        <v>16912</v>
      </c>
      <c r="D95" s="410"/>
      <c r="E95" s="410"/>
      <c r="F95" s="410"/>
      <c r="G95" s="410"/>
      <c r="H95" s="410">
        <f>10081+6831</f>
        <v>16912</v>
      </c>
      <c r="I95" s="410"/>
      <c r="J95" s="410"/>
      <c r="K95" s="410"/>
      <c r="L95" s="410"/>
      <c r="M95" s="410"/>
      <c r="N95" s="410"/>
      <c r="O95" s="410"/>
      <c r="P95" s="410"/>
      <c r="Q95" s="410"/>
      <c r="R95" s="410"/>
    </row>
    <row r="96" spans="1:18" ht="12.75">
      <c r="A96" s="274">
        <v>87</v>
      </c>
      <c r="B96" s="409" t="s">
        <v>240</v>
      </c>
      <c r="C96" s="410">
        <f t="shared" si="2"/>
        <v>648</v>
      </c>
      <c r="D96" s="410"/>
      <c r="E96" s="410"/>
      <c r="F96" s="410"/>
      <c r="G96" s="410"/>
      <c r="H96" s="410"/>
      <c r="I96" s="410"/>
      <c r="J96" s="410"/>
      <c r="K96" s="410"/>
      <c r="L96" s="410"/>
      <c r="M96" s="410"/>
      <c r="N96" s="410"/>
      <c r="O96" s="410"/>
      <c r="P96" s="410"/>
      <c r="Q96" s="410"/>
      <c r="R96" s="410">
        <v>648</v>
      </c>
    </row>
    <row r="97" spans="1:18" ht="12.75">
      <c r="A97" s="274">
        <v>88</v>
      </c>
      <c r="B97" s="409" t="s">
        <v>241</v>
      </c>
      <c r="C97" s="410">
        <f t="shared" si="2"/>
        <v>522</v>
      </c>
      <c r="D97" s="410"/>
      <c r="E97" s="410"/>
      <c r="F97" s="410"/>
      <c r="G97" s="410"/>
      <c r="H97" s="410"/>
      <c r="I97" s="410"/>
      <c r="J97" s="410"/>
      <c r="K97" s="410"/>
      <c r="L97" s="410"/>
      <c r="M97" s="410"/>
      <c r="N97" s="410"/>
      <c r="O97" s="410"/>
      <c r="P97" s="410"/>
      <c r="Q97" s="410"/>
      <c r="R97" s="410">
        <v>522</v>
      </c>
    </row>
    <row r="98" spans="1:18" ht="12.75">
      <c r="A98" s="274">
        <v>89</v>
      </c>
      <c r="B98" s="409" t="s">
        <v>242</v>
      </c>
      <c r="C98" s="410">
        <f t="shared" si="2"/>
        <v>486</v>
      </c>
      <c r="D98" s="410"/>
      <c r="E98" s="410"/>
      <c r="F98" s="410"/>
      <c r="G98" s="410"/>
      <c r="H98" s="410"/>
      <c r="I98" s="410"/>
      <c r="J98" s="410"/>
      <c r="K98" s="410"/>
      <c r="L98" s="410"/>
      <c r="M98" s="410"/>
      <c r="N98" s="410"/>
      <c r="O98" s="410"/>
      <c r="P98" s="410"/>
      <c r="Q98" s="410"/>
      <c r="R98" s="410">
        <v>486</v>
      </c>
    </row>
    <row r="99" spans="1:18" ht="12.75">
      <c r="A99" s="274">
        <v>90</v>
      </c>
      <c r="B99" s="409" t="s">
        <v>243</v>
      </c>
      <c r="C99" s="410">
        <f t="shared" si="2"/>
        <v>85</v>
      </c>
      <c r="D99" s="410"/>
      <c r="E99" s="410"/>
      <c r="F99" s="410"/>
      <c r="G99" s="410"/>
      <c r="H99" s="410"/>
      <c r="I99" s="410"/>
      <c r="J99" s="410"/>
      <c r="K99" s="410"/>
      <c r="L99" s="410"/>
      <c r="M99" s="410"/>
      <c r="N99" s="410"/>
      <c r="O99" s="410"/>
      <c r="P99" s="410"/>
      <c r="Q99" s="410"/>
      <c r="R99" s="410">
        <v>85</v>
      </c>
    </row>
    <row r="100" spans="1:18" ht="12.75" hidden="1">
      <c r="A100" s="274"/>
      <c r="B100" s="409" t="s">
        <v>244</v>
      </c>
      <c r="C100" s="410">
        <f t="shared" si="2"/>
        <v>0</v>
      </c>
      <c r="D100" s="410"/>
      <c r="E100" s="410"/>
      <c r="F100" s="410"/>
      <c r="G100" s="410"/>
      <c r="H100" s="410"/>
      <c r="I100" s="410"/>
      <c r="J100" s="410"/>
      <c r="K100" s="410"/>
      <c r="L100" s="410"/>
      <c r="M100" s="410"/>
      <c r="N100" s="410"/>
      <c r="O100" s="410"/>
      <c r="P100" s="410"/>
      <c r="Q100" s="410"/>
      <c r="R100" s="410"/>
    </row>
    <row r="101" spans="1:18" ht="12.75">
      <c r="A101" s="274">
        <v>91</v>
      </c>
      <c r="B101" s="409" t="s">
        <v>399</v>
      </c>
      <c r="C101" s="410">
        <f t="shared" si="2"/>
        <v>1121</v>
      </c>
      <c r="D101" s="410"/>
      <c r="E101" s="410"/>
      <c r="F101" s="410"/>
      <c r="G101" s="410"/>
      <c r="H101" s="410"/>
      <c r="I101" s="410"/>
      <c r="J101" s="410"/>
      <c r="K101" s="410"/>
      <c r="L101" s="410"/>
      <c r="M101" s="410">
        <v>1121</v>
      </c>
      <c r="N101" s="410"/>
      <c r="O101" s="410"/>
      <c r="P101" s="410"/>
      <c r="Q101" s="410"/>
      <c r="R101" s="410"/>
    </row>
    <row r="102" spans="1:18" ht="12.75" hidden="1">
      <c r="A102" s="341"/>
      <c r="B102" s="280" t="s">
        <v>245</v>
      </c>
      <c r="C102" s="281">
        <f t="shared" si="2"/>
        <v>0</v>
      </c>
      <c r="D102" s="281"/>
      <c r="E102" s="281"/>
      <c r="F102" s="281"/>
      <c r="G102" s="281"/>
      <c r="H102" s="281"/>
      <c r="I102" s="281"/>
      <c r="J102" s="281"/>
      <c r="K102" s="281"/>
      <c r="L102" s="281"/>
      <c r="M102" s="281"/>
      <c r="N102" s="281"/>
      <c r="O102" s="281"/>
      <c r="P102" s="281"/>
      <c r="Q102" s="281"/>
      <c r="R102" s="281"/>
    </row>
    <row r="103" spans="1:18" ht="12.75" hidden="1">
      <c r="A103" s="278"/>
      <c r="B103" s="279" t="s">
        <v>246</v>
      </c>
      <c r="C103" s="227">
        <f t="shared" si="2"/>
        <v>0</v>
      </c>
      <c r="D103" s="227"/>
      <c r="E103" s="227"/>
      <c r="F103" s="227"/>
      <c r="G103" s="227"/>
      <c r="H103" s="227"/>
      <c r="I103" s="227"/>
      <c r="J103" s="227"/>
      <c r="K103" s="227"/>
      <c r="L103" s="227"/>
      <c r="M103" s="227"/>
      <c r="N103" s="227"/>
      <c r="O103" s="227"/>
      <c r="P103" s="227"/>
      <c r="Q103" s="227"/>
      <c r="R103" s="227"/>
    </row>
    <row r="104" spans="1:18" ht="12.75" hidden="1">
      <c r="A104" s="278"/>
      <c r="B104" s="279" t="s">
        <v>247</v>
      </c>
      <c r="C104" s="227">
        <f t="shared" si="2"/>
        <v>0</v>
      </c>
      <c r="D104" s="227"/>
      <c r="E104" s="227"/>
      <c r="F104" s="227"/>
      <c r="G104" s="227"/>
      <c r="H104" s="227"/>
      <c r="I104" s="227"/>
      <c r="J104" s="227"/>
      <c r="K104" s="227"/>
      <c r="L104" s="227"/>
      <c r="M104" s="227"/>
      <c r="N104" s="227"/>
      <c r="O104" s="227"/>
      <c r="P104" s="227"/>
      <c r="Q104" s="227"/>
      <c r="R104" s="227"/>
    </row>
    <row r="105" spans="1:18" ht="12.75" hidden="1">
      <c r="A105" s="278"/>
      <c r="B105" s="279" t="s">
        <v>248</v>
      </c>
      <c r="C105" s="227">
        <f t="shared" si="2"/>
        <v>0</v>
      </c>
      <c r="D105" s="227"/>
      <c r="E105" s="227"/>
      <c r="F105" s="227"/>
      <c r="G105" s="227"/>
      <c r="H105" s="227"/>
      <c r="I105" s="227"/>
      <c r="J105" s="227"/>
      <c r="K105" s="227"/>
      <c r="L105" s="227"/>
      <c r="M105" s="227"/>
      <c r="N105" s="227"/>
      <c r="O105" s="227"/>
      <c r="P105" s="227"/>
      <c r="Q105" s="227"/>
      <c r="R105" s="227"/>
    </row>
    <row r="106" spans="1:18" ht="12.75" hidden="1">
      <c r="A106" s="278"/>
      <c r="B106" s="279" t="s">
        <v>252</v>
      </c>
      <c r="C106" s="227">
        <f t="shared" si="2"/>
        <v>0</v>
      </c>
      <c r="D106" s="227"/>
      <c r="E106" s="227"/>
      <c r="F106" s="227"/>
      <c r="G106" s="227"/>
      <c r="H106" s="227"/>
      <c r="I106" s="227"/>
      <c r="J106" s="227"/>
      <c r="K106" s="227"/>
      <c r="L106" s="227"/>
      <c r="M106" s="227"/>
      <c r="N106" s="227"/>
      <c r="O106" s="227"/>
      <c r="P106" s="227"/>
      <c r="Q106" s="227"/>
      <c r="R106" s="227"/>
    </row>
    <row r="107" spans="1:18" ht="12.75" hidden="1">
      <c r="A107" s="278"/>
      <c r="B107" s="279" t="s">
        <v>253</v>
      </c>
      <c r="C107" s="227">
        <f t="shared" si="2"/>
        <v>0</v>
      </c>
      <c r="D107" s="227"/>
      <c r="E107" s="227"/>
      <c r="F107" s="227"/>
      <c r="G107" s="227"/>
      <c r="H107" s="227"/>
      <c r="I107" s="227"/>
      <c r="J107" s="227"/>
      <c r="K107" s="227"/>
      <c r="L107" s="227"/>
      <c r="M107" s="227"/>
      <c r="N107" s="227"/>
      <c r="O107" s="227"/>
      <c r="P107" s="227"/>
      <c r="Q107" s="227"/>
      <c r="R107" s="227"/>
    </row>
    <row r="108" spans="1:18" ht="12.75" hidden="1">
      <c r="A108" s="278"/>
      <c r="B108" s="279" t="s">
        <v>254</v>
      </c>
      <c r="C108" s="227">
        <f t="shared" si="2"/>
        <v>0</v>
      </c>
      <c r="D108" s="227"/>
      <c r="E108" s="227"/>
      <c r="F108" s="227"/>
      <c r="G108" s="227"/>
      <c r="H108" s="227"/>
      <c r="I108" s="227"/>
      <c r="J108" s="227"/>
      <c r="K108" s="227"/>
      <c r="L108" s="227"/>
      <c r="M108" s="227"/>
      <c r="N108" s="227"/>
      <c r="O108" s="227"/>
      <c r="P108" s="227"/>
      <c r="Q108" s="227"/>
      <c r="R108" s="227"/>
    </row>
    <row r="109" spans="1:18" ht="12.75" hidden="1">
      <c r="A109" s="278"/>
      <c r="B109" s="279" t="s">
        <v>255</v>
      </c>
      <c r="C109" s="227">
        <f t="shared" si="2"/>
        <v>0</v>
      </c>
      <c r="D109" s="227"/>
      <c r="E109" s="227"/>
      <c r="F109" s="227"/>
      <c r="G109" s="227"/>
      <c r="H109" s="227"/>
      <c r="I109" s="227"/>
      <c r="J109" s="227"/>
      <c r="K109" s="227"/>
      <c r="L109" s="227"/>
      <c r="M109" s="227"/>
      <c r="N109" s="227"/>
      <c r="O109" s="227"/>
      <c r="P109" s="227"/>
      <c r="Q109" s="227"/>
      <c r="R109" s="227"/>
    </row>
    <row r="110" spans="1:18" ht="12.75" hidden="1">
      <c r="A110" s="278"/>
      <c r="B110" s="279" t="s">
        <v>249</v>
      </c>
      <c r="C110" s="227">
        <f t="shared" si="2"/>
        <v>0</v>
      </c>
      <c r="D110" s="227"/>
      <c r="E110" s="227"/>
      <c r="F110" s="227"/>
      <c r="G110" s="227"/>
      <c r="H110" s="227"/>
      <c r="I110" s="227"/>
      <c r="J110" s="227"/>
      <c r="K110" s="227"/>
      <c r="L110" s="227"/>
      <c r="M110" s="227"/>
      <c r="N110" s="227"/>
      <c r="O110" s="227"/>
      <c r="P110" s="227"/>
      <c r="Q110" s="227"/>
      <c r="R110" s="227"/>
    </row>
    <row r="111" spans="1:18" ht="12.75" hidden="1">
      <c r="A111" s="278"/>
      <c r="B111" s="279" t="s">
        <v>250</v>
      </c>
      <c r="C111" s="227">
        <f t="shared" si="2"/>
        <v>0</v>
      </c>
      <c r="D111" s="227"/>
      <c r="E111" s="227"/>
      <c r="F111" s="227"/>
      <c r="G111" s="227"/>
      <c r="H111" s="227"/>
      <c r="I111" s="227"/>
      <c r="J111" s="227"/>
      <c r="K111" s="227"/>
      <c r="L111" s="227"/>
      <c r="M111" s="227"/>
      <c r="N111" s="227"/>
      <c r="O111" s="227"/>
      <c r="P111" s="227"/>
      <c r="Q111" s="227"/>
      <c r="R111" s="227"/>
    </row>
    <row r="112" spans="1:18" ht="12.75" hidden="1">
      <c r="A112" s="278"/>
      <c r="B112" s="279" t="s">
        <v>256</v>
      </c>
      <c r="C112" s="227">
        <f t="shared" si="2"/>
        <v>0</v>
      </c>
      <c r="D112" s="227"/>
      <c r="E112" s="227"/>
      <c r="F112" s="227"/>
      <c r="G112" s="227"/>
      <c r="H112" s="227"/>
      <c r="I112" s="227"/>
      <c r="J112" s="227"/>
      <c r="K112" s="227"/>
      <c r="L112" s="227"/>
      <c r="M112" s="227"/>
      <c r="N112" s="227"/>
      <c r="O112" s="227"/>
      <c r="P112" s="227"/>
      <c r="Q112" s="227"/>
      <c r="R112" s="227"/>
    </row>
    <row r="113" spans="1:18" ht="12.75" hidden="1">
      <c r="A113" s="278"/>
      <c r="B113" s="279" t="s">
        <v>257</v>
      </c>
      <c r="C113" s="227">
        <f t="shared" si="2"/>
        <v>0</v>
      </c>
      <c r="D113" s="227"/>
      <c r="E113" s="227"/>
      <c r="F113" s="227"/>
      <c r="G113" s="227"/>
      <c r="H113" s="227"/>
      <c r="I113" s="227"/>
      <c r="J113" s="227"/>
      <c r="K113" s="227"/>
      <c r="L113" s="227"/>
      <c r="M113" s="227"/>
      <c r="N113" s="227"/>
      <c r="O113" s="227"/>
      <c r="P113" s="227"/>
      <c r="Q113" s="227"/>
      <c r="R113" s="227"/>
    </row>
    <row r="114" spans="1:18" ht="12.75" hidden="1">
      <c r="A114" s="278"/>
      <c r="B114" s="279" t="s">
        <v>258</v>
      </c>
      <c r="C114" s="227">
        <f t="shared" si="2"/>
        <v>0</v>
      </c>
      <c r="D114" s="227"/>
      <c r="E114" s="227"/>
      <c r="F114" s="227"/>
      <c r="G114" s="227"/>
      <c r="H114" s="227"/>
      <c r="I114" s="227"/>
      <c r="J114" s="227"/>
      <c r="K114" s="227"/>
      <c r="L114" s="227"/>
      <c r="M114" s="227"/>
      <c r="N114" s="227"/>
      <c r="O114" s="227"/>
      <c r="P114" s="227"/>
      <c r="Q114" s="227"/>
      <c r="R114" s="227"/>
    </row>
    <row r="115" spans="1:18" ht="12.75" hidden="1">
      <c r="A115" s="278"/>
      <c r="B115" s="279" t="s">
        <v>259</v>
      </c>
      <c r="C115" s="227">
        <f t="shared" si="2"/>
        <v>0</v>
      </c>
      <c r="D115" s="227"/>
      <c r="E115" s="227"/>
      <c r="F115" s="227"/>
      <c r="G115" s="227"/>
      <c r="H115" s="227"/>
      <c r="I115" s="227"/>
      <c r="J115" s="227"/>
      <c r="K115" s="227"/>
      <c r="L115" s="227"/>
      <c r="M115" s="227"/>
      <c r="N115" s="227"/>
      <c r="O115" s="227"/>
      <c r="P115" s="227"/>
      <c r="Q115" s="227"/>
      <c r="R115" s="227"/>
    </row>
    <row r="116" spans="1:18" ht="12.75" hidden="1">
      <c r="A116" s="278"/>
      <c r="B116" s="279" t="s">
        <v>260</v>
      </c>
      <c r="C116" s="227">
        <f t="shared" si="2"/>
        <v>0</v>
      </c>
      <c r="D116" s="227"/>
      <c r="E116" s="227"/>
      <c r="F116" s="227"/>
      <c r="G116" s="227"/>
      <c r="H116" s="227"/>
      <c r="I116" s="227"/>
      <c r="J116" s="227"/>
      <c r="K116" s="227"/>
      <c r="L116" s="227"/>
      <c r="M116" s="227"/>
      <c r="N116" s="227"/>
      <c r="O116" s="227"/>
      <c r="P116" s="227"/>
      <c r="Q116" s="227"/>
      <c r="R116" s="227"/>
    </row>
    <row r="117" spans="1:18" ht="12.75" hidden="1">
      <c r="A117" s="278"/>
      <c r="B117" s="279" t="s">
        <v>261</v>
      </c>
      <c r="C117" s="227">
        <f t="shared" si="2"/>
        <v>0</v>
      </c>
      <c r="D117" s="227"/>
      <c r="E117" s="227"/>
      <c r="F117" s="227"/>
      <c r="G117" s="227"/>
      <c r="H117" s="227"/>
      <c r="I117" s="227"/>
      <c r="J117" s="227"/>
      <c r="K117" s="227"/>
      <c r="L117" s="227"/>
      <c r="M117" s="227"/>
      <c r="N117" s="227"/>
      <c r="O117" s="227"/>
      <c r="P117" s="227"/>
      <c r="Q117" s="227"/>
      <c r="R117" s="227"/>
    </row>
    <row r="118" spans="1:18" ht="12.75" hidden="1">
      <c r="A118" s="278"/>
      <c r="B118" s="279" t="s">
        <v>262</v>
      </c>
      <c r="C118" s="227">
        <f t="shared" si="2"/>
        <v>0</v>
      </c>
      <c r="D118" s="227"/>
      <c r="E118" s="227"/>
      <c r="F118" s="227"/>
      <c r="G118" s="227"/>
      <c r="H118" s="227"/>
      <c r="I118" s="227"/>
      <c r="J118" s="227"/>
      <c r="K118" s="227"/>
      <c r="L118" s="227"/>
      <c r="M118" s="227"/>
      <c r="N118" s="227"/>
      <c r="O118" s="227"/>
      <c r="P118" s="227"/>
      <c r="Q118" s="227"/>
      <c r="R118" s="227"/>
    </row>
    <row r="119" spans="1:18" ht="12.75" hidden="1">
      <c r="A119" s="278"/>
      <c r="B119" s="279" t="s">
        <v>263</v>
      </c>
      <c r="C119" s="227">
        <f t="shared" si="2"/>
        <v>0</v>
      </c>
      <c r="D119" s="227"/>
      <c r="E119" s="227"/>
      <c r="F119" s="227"/>
      <c r="G119" s="227"/>
      <c r="H119" s="227"/>
      <c r="I119" s="227"/>
      <c r="J119" s="227"/>
      <c r="K119" s="227"/>
      <c r="L119" s="227"/>
      <c r="M119" s="227"/>
      <c r="N119" s="227"/>
      <c r="O119" s="227"/>
      <c r="P119" s="227"/>
      <c r="Q119" s="227"/>
      <c r="R119" s="227"/>
    </row>
    <row r="120" spans="1:18" ht="12.75" hidden="1">
      <c r="A120" s="278"/>
      <c r="B120" s="279" t="s">
        <v>264</v>
      </c>
      <c r="C120" s="227">
        <f t="shared" si="2"/>
        <v>0</v>
      </c>
      <c r="D120" s="227"/>
      <c r="E120" s="227"/>
      <c r="F120" s="227"/>
      <c r="G120" s="227"/>
      <c r="H120" s="227"/>
      <c r="I120" s="227"/>
      <c r="J120" s="227"/>
      <c r="K120" s="227"/>
      <c r="L120" s="227"/>
      <c r="M120" s="227"/>
      <c r="N120" s="227"/>
      <c r="O120" s="227"/>
      <c r="P120" s="227"/>
      <c r="Q120" s="227"/>
      <c r="R120" s="227"/>
    </row>
    <row r="121" spans="1:18" ht="12.75" hidden="1">
      <c r="A121" s="278"/>
      <c r="B121" s="279" t="s">
        <v>403</v>
      </c>
      <c r="C121" s="227">
        <f t="shared" si="2"/>
        <v>0</v>
      </c>
      <c r="D121" s="227"/>
      <c r="E121" s="227"/>
      <c r="F121" s="227"/>
      <c r="G121" s="227"/>
      <c r="H121" s="227"/>
      <c r="I121" s="227"/>
      <c r="J121" s="227"/>
      <c r="K121" s="227"/>
      <c r="L121" s="227"/>
      <c r="M121" s="227"/>
      <c r="N121" s="227"/>
      <c r="O121" s="227"/>
      <c r="P121" s="227"/>
      <c r="Q121" s="227"/>
      <c r="R121" s="227"/>
    </row>
    <row r="122" spans="1:18" ht="12.75">
      <c r="A122" s="282">
        <v>92</v>
      </c>
      <c r="B122" s="283" t="s">
        <v>251</v>
      </c>
      <c r="C122" s="284">
        <f>SUM(D122:M122,P122:R122)</f>
        <v>85837</v>
      </c>
      <c r="D122" s="284">
        <f>'[3]sheet1'!$D32-SUM(D9:D121)</f>
        <v>36620</v>
      </c>
      <c r="E122" s="284"/>
      <c r="F122" s="284">
        <f>'[3]sheet1'!$D47-SUM(F9:F121)</f>
        <v>0</v>
      </c>
      <c r="G122" s="284">
        <f>'[3]sheet1'!$D48-SUM(G9:G121)</f>
        <v>0</v>
      </c>
      <c r="H122" s="284">
        <f>'[3]sheet1'!$D37-'BS79'!C10-SUM(H9:H121)</f>
        <v>0</v>
      </c>
      <c r="I122" s="284">
        <f>'[3]sheet1'!$D38-SUM(I9:I121)</f>
        <v>760</v>
      </c>
      <c r="J122" s="284"/>
      <c r="K122" s="284">
        <f>'[3]sheet1'!$D39-SUM(K9:K121)</f>
        <v>0</v>
      </c>
      <c r="L122" s="284">
        <f>'[3]sheet1'!D29-SUM(L9:L121)</f>
        <v>18372</v>
      </c>
      <c r="M122" s="284">
        <f>'[3]sheet1'!D20-'[3]sheet1'!D29-SUM(M9:M121)</f>
        <v>17498</v>
      </c>
      <c r="N122" s="284">
        <f>'[3]sheet1'!D25-SUM(N9:N121)</f>
        <v>6970</v>
      </c>
      <c r="O122" s="284"/>
      <c r="P122" s="284">
        <f>'[3]sheet1'!$D41-SUM(P9:P121)</f>
        <v>5335</v>
      </c>
      <c r="Q122" s="284">
        <f>'[3]sheet1'!D40-SUM(Q9:Q121)</f>
        <v>0</v>
      </c>
      <c r="R122" s="284">
        <f>'[3]sheet1'!$D52-SUM(R9:R121)</f>
        <v>7252</v>
      </c>
    </row>
  </sheetData>
  <sheetProtection/>
  <mergeCells count="19">
    <mergeCell ref="A3:R3"/>
    <mergeCell ref="A2:R2"/>
    <mergeCell ref="A5:A6"/>
    <mergeCell ref="B5:B6"/>
    <mergeCell ref="C5:C6"/>
    <mergeCell ref="D5:D6"/>
    <mergeCell ref="E5:E6"/>
    <mergeCell ref="F5:F6"/>
    <mergeCell ref="G5:G6"/>
    <mergeCell ref="H5:H6"/>
    <mergeCell ref="I5:I6"/>
    <mergeCell ref="Q5:Q6"/>
    <mergeCell ref="R5:R6"/>
    <mergeCell ref="J5:J6"/>
    <mergeCell ref="K5:K6"/>
    <mergeCell ref="L5:L6"/>
    <mergeCell ref="M5:M6"/>
    <mergeCell ref="N5:O5"/>
    <mergeCell ref="P5:P6"/>
  </mergeCells>
  <printOptions horizontalCentered="1"/>
  <pageMargins left="0.3937007874015748" right="0.3937007874015748" top="0.5118110236220472" bottom="0.5118110236220472" header="0.31496062992125984" footer="0.31496062992125984"/>
  <pageSetup horizontalDpi="600" verticalDpi="600" orientation="landscape" paperSize="9" r:id="rId1"/>
  <headerFooter>
    <oddFooter>&amp;R&amp;"Times New Roman,Regular"&amp;10&amp;P</oddFooter>
  </headerFooter>
</worksheet>
</file>

<file path=xl/worksheets/sheet7.xml><?xml version="1.0" encoding="utf-8"?>
<worksheet xmlns="http://schemas.openxmlformats.org/spreadsheetml/2006/main" xmlns:r="http://schemas.openxmlformats.org/officeDocument/2006/relationships">
  <sheetPr>
    <tabColor rgb="FFC00000"/>
  </sheetPr>
  <dimension ref="A1:K29"/>
  <sheetViews>
    <sheetView showZeros="0" tabSelected="1" zoomScale="110" zoomScaleNormal="110" zoomScalePageLayoutView="0" workbookViewId="0" topLeftCell="A10">
      <selection activeCell="C9" sqref="C9:K25"/>
    </sheetView>
  </sheetViews>
  <sheetFormatPr defaultColWidth="9.140625" defaultRowHeight="15"/>
  <cols>
    <col min="1" max="1" width="6.57421875" style="207" customWidth="1"/>
    <col min="2" max="2" width="17.7109375" style="207" customWidth="1"/>
    <col min="3" max="11" width="12.140625" style="207" customWidth="1"/>
    <col min="12" max="16384" width="9.140625" style="207" customWidth="1"/>
  </cols>
  <sheetData>
    <row r="1" spans="1:11" ht="15.75">
      <c r="A1" s="412" t="s">
        <v>500</v>
      </c>
      <c r="K1" s="152" t="s">
        <v>516</v>
      </c>
    </row>
    <row r="2" spans="1:11" ht="15.75">
      <c r="A2" s="441" t="s">
        <v>508</v>
      </c>
      <c r="B2" s="441"/>
      <c r="C2" s="441"/>
      <c r="D2" s="441"/>
      <c r="E2" s="441"/>
      <c r="F2" s="441"/>
      <c r="G2" s="441"/>
      <c r="H2" s="441"/>
      <c r="I2" s="441"/>
      <c r="J2" s="441"/>
      <c r="K2" s="441"/>
    </row>
    <row r="3" spans="1:11" ht="15.75">
      <c r="A3" s="496" t="s">
        <v>509</v>
      </c>
      <c r="B3" s="496"/>
      <c r="C3" s="496"/>
      <c r="D3" s="496"/>
      <c r="E3" s="496"/>
      <c r="F3" s="496"/>
      <c r="G3" s="496"/>
      <c r="H3" s="496"/>
      <c r="I3" s="496"/>
      <c r="J3" s="496"/>
      <c r="K3" s="496"/>
    </row>
    <row r="4" ht="15.75">
      <c r="K4" s="161" t="s">
        <v>10</v>
      </c>
    </row>
    <row r="5" spans="1:11" ht="15.75">
      <c r="A5" s="443" t="s">
        <v>0</v>
      </c>
      <c r="B5" s="443" t="s">
        <v>173</v>
      </c>
      <c r="C5" s="443" t="s">
        <v>140</v>
      </c>
      <c r="D5" s="443" t="s">
        <v>367</v>
      </c>
      <c r="E5" s="443" t="s">
        <v>361</v>
      </c>
      <c r="F5" s="443"/>
      <c r="G5" s="443"/>
      <c r="H5" s="443" t="s">
        <v>362</v>
      </c>
      <c r="I5" s="443" t="s">
        <v>363</v>
      </c>
      <c r="J5" s="443" t="s">
        <v>22</v>
      </c>
      <c r="K5" s="443" t="s">
        <v>370</v>
      </c>
    </row>
    <row r="6" spans="1:11" ht="15.75">
      <c r="A6" s="443"/>
      <c r="B6" s="443"/>
      <c r="C6" s="443"/>
      <c r="D6" s="443"/>
      <c r="E6" s="443" t="s">
        <v>368</v>
      </c>
      <c r="F6" s="443" t="s">
        <v>364</v>
      </c>
      <c r="G6" s="443"/>
      <c r="H6" s="443"/>
      <c r="I6" s="443"/>
      <c r="J6" s="443"/>
      <c r="K6" s="443"/>
    </row>
    <row r="7" spans="1:11" ht="84.75" customHeight="1">
      <c r="A7" s="443"/>
      <c r="B7" s="443"/>
      <c r="C7" s="443"/>
      <c r="D7" s="443"/>
      <c r="E7" s="443"/>
      <c r="F7" s="423" t="s">
        <v>130</v>
      </c>
      <c r="G7" s="423" t="s">
        <v>369</v>
      </c>
      <c r="H7" s="443"/>
      <c r="I7" s="443"/>
      <c r="J7" s="443"/>
      <c r="K7" s="443"/>
    </row>
    <row r="8" spans="1:11" ht="15.75">
      <c r="A8" s="423" t="s">
        <v>1</v>
      </c>
      <c r="B8" s="423" t="s">
        <v>6</v>
      </c>
      <c r="C8" s="423">
        <v>1</v>
      </c>
      <c r="D8" s="423" t="s">
        <v>365</v>
      </c>
      <c r="E8" s="423">
        <v>3</v>
      </c>
      <c r="F8" s="423">
        <v>4</v>
      </c>
      <c r="G8" s="423">
        <v>5</v>
      </c>
      <c r="H8" s="423">
        <v>6</v>
      </c>
      <c r="I8" s="423">
        <v>7</v>
      </c>
      <c r="J8" s="423">
        <v>8</v>
      </c>
      <c r="K8" s="423" t="s">
        <v>366</v>
      </c>
    </row>
    <row r="9" spans="1:11" ht="15.75">
      <c r="A9" s="204"/>
      <c r="B9" s="162" t="s">
        <v>149</v>
      </c>
      <c r="C9" s="214">
        <v>18248</v>
      </c>
      <c r="D9" s="214">
        <v>18248</v>
      </c>
      <c r="E9" s="214">
        <v>18248</v>
      </c>
      <c r="F9" s="214">
        <v>0</v>
      </c>
      <c r="G9" s="214">
        <v>0</v>
      </c>
      <c r="H9" s="214">
        <v>143623.175</v>
      </c>
      <c r="I9" s="214">
        <v>40095.951</v>
      </c>
      <c r="J9" s="214">
        <v>3732</v>
      </c>
      <c r="K9" s="214">
        <v>205699.12600000005</v>
      </c>
    </row>
    <row r="10" spans="1:11" ht="15.75">
      <c r="A10" s="205">
        <v>1</v>
      </c>
      <c r="B10" s="208" t="s">
        <v>150</v>
      </c>
      <c r="C10" s="215">
        <v>1186</v>
      </c>
      <c r="D10" s="215">
        <v>1186</v>
      </c>
      <c r="E10" s="386">
        <v>1186</v>
      </c>
      <c r="F10" s="215"/>
      <c r="G10" s="215"/>
      <c r="H10" s="215">
        <v>8312.398</v>
      </c>
      <c r="I10" s="387">
        <v>2445.795</v>
      </c>
      <c r="J10" s="387">
        <v>165</v>
      </c>
      <c r="K10" s="215">
        <v>12109.193</v>
      </c>
    </row>
    <row r="11" spans="1:11" ht="15.75">
      <c r="A11" s="205">
        <v>2</v>
      </c>
      <c r="B11" s="208" t="s">
        <v>151</v>
      </c>
      <c r="C11" s="215">
        <v>1261</v>
      </c>
      <c r="D11" s="215">
        <v>1261</v>
      </c>
      <c r="E11" s="386">
        <v>1261</v>
      </c>
      <c r="F11" s="215"/>
      <c r="G11" s="215"/>
      <c r="H11" s="215">
        <v>9292.503</v>
      </c>
      <c r="I11" s="387">
        <v>2393.756</v>
      </c>
      <c r="J11" s="387">
        <v>320</v>
      </c>
      <c r="K11" s="215">
        <v>13267.259</v>
      </c>
    </row>
    <row r="12" spans="1:11" ht="15.75">
      <c r="A12" s="205">
        <v>3</v>
      </c>
      <c r="B12" s="208" t="s">
        <v>152</v>
      </c>
      <c r="C12" s="215">
        <v>1044</v>
      </c>
      <c r="D12" s="215">
        <v>1044</v>
      </c>
      <c r="E12" s="386">
        <v>1044</v>
      </c>
      <c r="F12" s="215"/>
      <c r="G12" s="215"/>
      <c r="H12" s="215">
        <v>9859.953000000001</v>
      </c>
      <c r="I12" s="387">
        <v>2309.265</v>
      </c>
      <c r="J12" s="387">
        <v>293</v>
      </c>
      <c r="K12" s="215">
        <v>13506.218</v>
      </c>
    </row>
    <row r="13" spans="1:11" ht="15.75">
      <c r="A13" s="205">
        <v>4</v>
      </c>
      <c r="B13" s="208" t="s">
        <v>153</v>
      </c>
      <c r="C13" s="215">
        <v>1841</v>
      </c>
      <c r="D13" s="215">
        <v>1841</v>
      </c>
      <c r="E13" s="386">
        <v>1841</v>
      </c>
      <c r="F13" s="215"/>
      <c r="G13" s="215"/>
      <c r="H13" s="215">
        <v>11524.836000000001</v>
      </c>
      <c r="I13" s="387">
        <v>2390.167</v>
      </c>
      <c r="J13" s="387">
        <v>477</v>
      </c>
      <c r="K13" s="215">
        <v>16233.003</v>
      </c>
    </row>
    <row r="14" spans="1:11" ht="15.75">
      <c r="A14" s="205">
        <v>5</v>
      </c>
      <c r="B14" s="208" t="s">
        <v>154</v>
      </c>
      <c r="C14" s="215">
        <v>1777</v>
      </c>
      <c r="D14" s="215">
        <v>1777</v>
      </c>
      <c r="E14" s="386">
        <v>1777</v>
      </c>
      <c r="F14" s="215"/>
      <c r="G14" s="215"/>
      <c r="H14" s="215">
        <v>10911.802</v>
      </c>
      <c r="I14" s="387">
        <v>2668.464</v>
      </c>
      <c r="J14" s="387">
        <v>326</v>
      </c>
      <c r="K14" s="215">
        <v>15683.266</v>
      </c>
    </row>
    <row r="15" spans="1:11" ht="15.75">
      <c r="A15" s="205">
        <v>6</v>
      </c>
      <c r="B15" s="208" t="s">
        <v>155</v>
      </c>
      <c r="C15" s="215">
        <v>1195</v>
      </c>
      <c r="D15" s="215">
        <v>1195</v>
      </c>
      <c r="E15" s="386">
        <v>1195</v>
      </c>
      <c r="F15" s="215"/>
      <c r="G15" s="215"/>
      <c r="H15" s="215">
        <v>9132.409</v>
      </c>
      <c r="I15" s="387">
        <v>2191.323</v>
      </c>
      <c r="J15" s="387">
        <v>495</v>
      </c>
      <c r="K15" s="215">
        <v>13013.732</v>
      </c>
    </row>
    <row r="16" spans="1:11" ht="15.75">
      <c r="A16" s="205">
        <v>7</v>
      </c>
      <c r="B16" s="208" t="s">
        <v>156</v>
      </c>
      <c r="C16" s="215">
        <v>3134</v>
      </c>
      <c r="D16" s="215">
        <v>3134</v>
      </c>
      <c r="E16" s="386">
        <v>3134</v>
      </c>
      <c r="F16" s="215"/>
      <c r="G16" s="215"/>
      <c r="H16" s="215">
        <v>7447.91</v>
      </c>
      <c r="I16" s="387">
        <v>2085.553</v>
      </c>
      <c r="J16" s="387">
        <v>732</v>
      </c>
      <c r="K16" s="215">
        <v>13399.463</v>
      </c>
    </row>
    <row r="17" spans="1:11" ht="15.75">
      <c r="A17" s="205">
        <v>8</v>
      </c>
      <c r="B17" s="208" t="s">
        <v>157</v>
      </c>
      <c r="C17" s="215">
        <v>358</v>
      </c>
      <c r="D17" s="215">
        <v>358</v>
      </c>
      <c r="E17" s="386">
        <v>358</v>
      </c>
      <c r="F17" s="215"/>
      <c r="G17" s="215"/>
      <c r="H17" s="215">
        <v>7761.13</v>
      </c>
      <c r="I17" s="387">
        <v>2681.8869999999997</v>
      </c>
      <c r="J17" s="387">
        <v>0</v>
      </c>
      <c r="K17" s="215">
        <v>10801.017</v>
      </c>
    </row>
    <row r="18" spans="1:11" ht="15.75">
      <c r="A18" s="205">
        <v>9</v>
      </c>
      <c r="B18" s="208" t="s">
        <v>158</v>
      </c>
      <c r="C18" s="215">
        <v>741</v>
      </c>
      <c r="D18" s="215">
        <v>741</v>
      </c>
      <c r="E18" s="386">
        <v>741</v>
      </c>
      <c r="F18" s="215"/>
      <c r="G18" s="215"/>
      <c r="H18" s="215">
        <v>9251.413</v>
      </c>
      <c r="I18" s="387">
        <v>2824.95</v>
      </c>
      <c r="J18" s="387">
        <v>50</v>
      </c>
      <c r="K18" s="215">
        <v>12867.363000000001</v>
      </c>
    </row>
    <row r="19" spans="1:11" ht="15.75">
      <c r="A19" s="205">
        <v>10</v>
      </c>
      <c r="B19" s="208" t="s">
        <v>159</v>
      </c>
      <c r="C19" s="215">
        <v>509</v>
      </c>
      <c r="D19" s="215">
        <v>509</v>
      </c>
      <c r="E19" s="386">
        <v>509</v>
      </c>
      <c r="F19" s="215"/>
      <c r="G19" s="215"/>
      <c r="H19" s="215">
        <v>8762.648000000001</v>
      </c>
      <c r="I19" s="387">
        <v>2810.9700000000003</v>
      </c>
      <c r="J19" s="387">
        <v>41</v>
      </c>
      <c r="K19" s="215">
        <v>12123.618000000002</v>
      </c>
    </row>
    <row r="20" spans="1:11" ht="15.75">
      <c r="A20" s="205">
        <v>11</v>
      </c>
      <c r="B20" s="208" t="s">
        <v>160</v>
      </c>
      <c r="C20" s="215">
        <v>476</v>
      </c>
      <c r="D20" s="215">
        <v>476</v>
      </c>
      <c r="E20" s="386">
        <v>476</v>
      </c>
      <c r="F20" s="215"/>
      <c r="G20" s="215"/>
      <c r="H20" s="215">
        <v>7034.371000000001</v>
      </c>
      <c r="I20" s="387">
        <v>2321.908</v>
      </c>
      <c r="J20" s="387">
        <v>131</v>
      </c>
      <c r="K20" s="215">
        <v>9963.279</v>
      </c>
    </row>
    <row r="21" spans="1:11" ht="15.75">
      <c r="A21" s="205">
        <v>12</v>
      </c>
      <c r="B21" s="208" t="s">
        <v>161</v>
      </c>
      <c r="C21" s="215">
        <v>642</v>
      </c>
      <c r="D21" s="215">
        <v>642</v>
      </c>
      <c r="E21" s="386">
        <v>642</v>
      </c>
      <c r="F21" s="215"/>
      <c r="G21" s="215"/>
      <c r="H21" s="215">
        <v>8862.622</v>
      </c>
      <c r="I21" s="387">
        <v>2786.934</v>
      </c>
      <c r="J21" s="387">
        <v>140</v>
      </c>
      <c r="K21" s="215">
        <v>12431.556</v>
      </c>
    </row>
    <row r="22" spans="1:11" ht="15.75">
      <c r="A22" s="205">
        <v>13</v>
      </c>
      <c r="B22" s="208" t="s">
        <v>162</v>
      </c>
      <c r="C22" s="215">
        <v>479</v>
      </c>
      <c r="D22" s="215">
        <v>479</v>
      </c>
      <c r="E22" s="386">
        <v>479</v>
      </c>
      <c r="F22" s="215"/>
      <c r="G22" s="215"/>
      <c r="H22" s="215">
        <v>7534.043999999999</v>
      </c>
      <c r="I22" s="387">
        <v>2330.4880000000003</v>
      </c>
      <c r="J22" s="387">
        <v>45</v>
      </c>
      <c r="K22" s="215">
        <v>10388.532</v>
      </c>
    </row>
    <row r="23" spans="1:11" ht="15.75">
      <c r="A23" s="205">
        <v>14</v>
      </c>
      <c r="B23" s="208" t="s">
        <v>163</v>
      </c>
      <c r="C23" s="215">
        <v>539</v>
      </c>
      <c r="D23" s="215">
        <v>539</v>
      </c>
      <c r="E23" s="386">
        <v>539</v>
      </c>
      <c r="F23" s="215"/>
      <c r="G23" s="215"/>
      <c r="H23" s="215">
        <v>8855.503999999999</v>
      </c>
      <c r="I23" s="387">
        <v>2811.627</v>
      </c>
      <c r="J23" s="387">
        <v>108</v>
      </c>
      <c r="K23" s="215">
        <v>12314.131</v>
      </c>
    </row>
    <row r="24" spans="1:11" ht="15.75">
      <c r="A24" s="205">
        <v>15</v>
      </c>
      <c r="B24" s="208" t="s">
        <v>164</v>
      </c>
      <c r="C24" s="215">
        <v>1157</v>
      </c>
      <c r="D24" s="215">
        <v>1157</v>
      </c>
      <c r="E24" s="386">
        <v>1157</v>
      </c>
      <c r="F24" s="215"/>
      <c r="G24" s="215"/>
      <c r="H24" s="215">
        <v>10664.163999999999</v>
      </c>
      <c r="I24" s="387">
        <v>2476.707</v>
      </c>
      <c r="J24" s="387">
        <v>164</v>
      </c>
      <c r="K24" s="215">
        <v>14461.871</v>
      </c>
    </row>
    <row r="25" spans="1:11" ht="15.75">
      <c r="A25" s="206">
        <v>16</v>
      </c>
      <c r="B25" s="209" t="s">
        <v>165</v>
      </c>
      <c r="C25" s="388">
        <v>1909</v>
      </c>
      <c r="D25" s="388">
        <v>1909</v>
      </c>
      <c r="E25" s="389">
        <v>1909</v>
      </c>
      <c r="F25" s="388"/>
      <c r="G25" s="388"/>
      <c r="H25" s="216">
        <v>8415.468</v>
      </c>
      <c r="I25" s="390">
        <v>2566.157</v>
      </c>
      <c r="J25" s="390">
        <v>245</v>
      </c>
      <c r="K25" s="388">
        <v>13135.625</v>
      </c>
    </row>
    <row r="26" ht="15.75">
      <c r="A26" s="207" t="s">
        <v>496</v>
      </c>
    </row>
    <row r="27" ht="15.75">
      <c r="A27" s="342"/>
    </row>
    <row r="28" ht="15.75">
      <c r="A28" s="342"/>
    </row>
    <row r="29" ht="15.75">
      <c r="A29" s="342"/>
    </row>
  </sheetData>
  <sheetProtection/>
  <mergeCells count="13">
    <mergeCell ref="F6:G6"/>
    <mergeCell ref="E6:E7"/>
    <mergeCell ref="J5:J7"/>
    <mergeCell ref="A2:K2"/>
    <mergeCell ref="K5:K7"/>
    <mergeCell ref="I5:I7"/>
    <mergeCell ref="H5:H7"/>
    <mergeCell ref="A3:K3"/>
    <mergeCell ref="E5:G5"/>
    <mergeCell ref="D5:D7"/>
    <mergeCell ref="C5:C7"/>
    <mergeCell ref="B5:B7"/>
    <mergeCell ref="A5:A7"/>
  </mergeCells>
  <printOptions horizontalCentered="1"/>
  <pageMargins left="0.5" right="0.5" top="0.6" bottom="0.6"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C00000"/>
  </sheetPr>
  <dimension ref="A1:G23"/>
  <sheetViews>
    <sheetView showZeros="0" zoomScale="110" zoomScaleNormal="110" zoomScalePageLayoutView="0" workbookViewId="0" topLeftCell="A1">
      <selection activeCell="A3" sqref="A3:F3"/>
    </sheetView>
  </sheetViews>
  <sheetFormatPr defaultColWidth="9.140625" defaultRowHeight="15"/>
  <cols>
    <col min="1" max="1" width="6.8515625" style="160" customWidth="1"/>
    <col min="2" max="2" width="25.57421875" style="160" customWidth="1"/>
    <col min="3" max="6" width="13.28125" style="160" customWidth="1"/>
    <col min="7" max="16384" width="9.140625" style="160" customWidth="1"/>
  </cols>
  <sheetData>
    <row r="1" spans="1:6" ht="15">
      <c r="A1" s="412" t="s">
        <v>500</v>
      </c>
      <c r="F1" s="152" t="s">
        <v>507</v>
      </c>
    </row>
    <row r="2" spans="1:6" ht="33.75" customHeight="1">
      <c r="A2" s="441" t="s">
        <v>481</v>
      </c>
      <c r="B2" s="441"/>
      <c r="C2" s="441"/>
      <c r="D2" s="441"/>
      <c r="E2" s="441"/>
      <c r="F2" s="441"/>
    </row>
    <row r="3" spans="1:7" ht="15" customHeight="1">
      <c r="A3" s="435" t="s">
        <v>501</v>
      </c>
      <c r="B3" s="435"/>
      <c r="C3" s="435"/>
      <c r="D3" s="435"/>
      <c r="E3" s="435"/>
      <c r="F3" s="435"/>
      <c r="G3" s="149"/>
    </row>
    <row r="4" ht="15.75">
      <c r="F4" s="161" t="s">
        <v>10</v>
      </c>
    </row>
    <row r="5" spans="1:6" ht="131.25" customHeight="1">
      <c r="A5" s="211" t="s">
        <v>0</v>
      </c>
      <c r="B5" s="211" t="s">
        <v>173</v>
      </c>
      <c r="C5" s="211" t="s">
        <v>130</v>
      </c>
      <c r="D5" s="211" t="s">
        <v>380</v>
      </c>
      <c r="E5" s="211" t="s">
        <v>381</v>
      </c>
      <c r="F5" s="211" t="s">
        <v>373</v>
      </c>
    </row>
    <row r="6" spans="1:6" ht="15.75">
      <c r="A6" s="210" t="s">
        <v>1</v>
      </c>
      <c r="B6" s="210" t="s">
        <v>6</v>
      </c>
      <c r="C6" s="210" t="s">
        <v>382</v>
      </c>
      <c r="D6" s="210">
        <v>2</v>
      </c>
      <c r="E6" s="210">
        <v>3</v>
      </c>
      <c r="F6" s="210">
        <v>4</v>
      </c>
    </row>
    <row r="7" spans="1:6" ht="15.75">
      <c r="A7" s="192"/>
      <c r="B7" s="192" t="s">
        <v>149</v>
      </c>
      <c r="C7" s="214">
        <f>SUM(C8:C23)</f>
        <v>2106</v>
      </c>
      <c r="D7" s="214">
        <f>SUM(D8:D23)</f>
        <v>0</v>
      </c>
      <c r="E7" s="214">
        <f>SUM(E8:E23)</f>
        <v>0</v>
      </c>
      <c r="F7" s="214">
        <f>SUM(F8:F23)</f>
        <v>2106</v>
      </c>
    </row>
    <row r="8" spans="1:6" ht="15.75">
      <c r="A8" s="193">
        <v>1</v>
      </c>
      <c r="B8" s="194" t="s">
        <v>150</v>
      </c>
      <c r="C8" s="215">
        <f>SUM(D8:F8)</f>
        <v>111.5</v>
      </c>
      <c r="D8" s="215">
        <f>'B41'!R10</f>
        <v>0</v>
      </c>
      <c r="E8" s="215">
        <f>'B41'!S10</f>
        <v>0</v>
      </c>
      <c r="F8" s="215">
        <f>'B41'!T10</f>
        <v>111.5</v>
      </c>
    </row>
    <row r="9" spans="1:6" ht="15.75">
      <c r="A9" s="193">
        <v>2</v>
      </c>
      <c r="B9" s="194" t="s">
        <v>151</v>
      </c>
      <c r="C9" s="215">
        <f aca="true" t="shared" si="0" ref="C9:C23">SUM(D9:F9)</f>
        <v>150.3</v>
      </c>
      <c r="D9" s="215">
        <f>'B41'!R11</f>
        <v>0</v>
      </c>
      <c r="E9" s="215">
        <f>'B41'!S11</f>
        <v>0</v>
      </c>
      <c r="F9" s="215">
        <f>'B41'!T11</f>
        <v>150.3</v>
      </c>
    </row>
    <row r="10" spans="1:6" ht="15.75">
      <c r="A10" s="193">
        <v>3</v>
      </c>
      <c r="B10" s="194" t="s">
        <v>152</v>
      </c>
      <c r="C10" s="215">
        <f t="shared" si="0"/>
        <v>122</v>
      </c>
      <c r="D10" s="215">
        <f>'B41'!R12</f>
        <v>0</v>
      </c>
      <c r="E10" s="215">
        <f>'B41'!S12</f>
        <v>0</v>
      </c>
      <c r="F10" s="215">
        <f>'B41'!T12</f>
        <v>122</v>
      </c>
    </row>
    <row r="11" spans="1:6" ht="15.75">
      <c r="A11" s="193">
        <v>4</v>
      </c>
      <c r="B11" s="194" t="s">
        <v>153</v>
      </c>
      <c r="C11" s="215">
        <f t="shared" si="0"/>
        <v>221.6</v>
      </c>
      <c r="D11" s="215">
        <f>'B41'!R13</f>
        <v>0</v>
      </c>
      <c r="E11" s="215">
        <f>'B41'!S13</f>
        <v>0</v>
      </c>
      <c r="F11" s="215">
        <f>'B41'!T13</f>
        <v>221.6</v>
      </c>
    </row>
    <row r="12" spans="1:6" ht="15.75">
      <c r="A12" s="193">
        <v>5</v>
      </c>
      <c r="B12" s="194" t="s">
        <v>154</v>
      </c>
      <c r="C12" s="215">
        <f t="shared" si="0"/>
        <v>184</v>
      </c>
      <c r="D12" s="215">
        <f>'B41'!R14</f>
        <v>0</v>
      </c>
      <c r="E12" s="215">
        <f>'B41'!S14</f>
        <v>0</v>
      </c>
      <c r="F12" s="215">
        <f>'B41'!T14</f>
        <v>184</v>
      </c>
    </row>
    <row r="13" spans="1:6" ht="15.75">
      <c r="A13" s="193">
        <v>6</v>
      </c>
      <c r="B13" s="194" t="s">
        <v>155</v>
      </c>
      <c r="C13" s="215">
        <f t="shared" si="0"/>
        <v>156.9</v>
      </c>
      <c r="D13" s="215">
        <f>'B41'!R15</f>
        <v>0</v>
      </c>
      <c r="E13" s="215">
        <f>'B41'!S15</f>
        <v>0</v>
      </c>
      <c r="F13" s="215">
        <f>'B41'!T15</f>
        <v>156.9</v>
      </c>
    </row>
    <row r="14" spans="1:6" ht="15.75">
      <c r="A14" s="193">
        <v>7</v>
      </c>
      <c r="B14" s="194" t="s">
        <v>156</v>
      </c>
      <c r="C14" s="215">
        <f t="shared" si="0"/>
        <v>125.6</v>
      </c>
      <c r="D14" s="215">
        <f>'B41'!R16</f>
        <v>0</v>
      </c>
      <c r="E14" s="215">
        <f>'B41'!S16</f>
        <v>0</v>
      </c>
      <c r="F14" s="215">
        <f>'B41'!T16</f>
        <v>125.6</v>
      </c>
    </row>
    <row r="15" spans="1:6" ht="15.75">
      <c r="A15" s="193">
        <v>8</v>
      </c>
      <c r="B15" s="194" t="s">
        <v>157</v>
      </c>
      <c r="C15" s="215">
        <f t="shared" si="0"/>
        <v>73.2</v>
      </c>
      <c r="D15" s="215">
        <f>'B41'!R17</f>
        <v>0</v>
      </c>
      <c r="E15" s="215">
        <f>'B41'!S17</f>
        <v>0</v>
      </c>
      <c r="F15" s="215">
        <f>'B41'!T17</f>
        <v>73.2</v>
      </c>
    </row>
    <row r="16" spans="1:6" ht="15.75">
      <c r="A16" s="193">
        <v>9</v>
      </c>
      <c r="B16" s="194" t="s">
        <v>158</v>
      </c>
      <c r="C16" s="215">
        <f t="shared" si="0"/>
        <v>127.9</v>
      </c>
      <c r="D16" s="215">
        <f>'B41'!R18</f>
        <v>0</v>
      </c>
      <c r="E16" s="215">
        <f>'B41'!S18</f>
        <v>0</v>
      </c>
      <c r="F16" s="215">
        <f>'B41'!T18</f>
        <v>127.9</v>
      </c>
    </row>
    <row r="17" spans="1:6" ht="15.75">
      <c r="A17" s="193">
        <v>10</v>
      </c>
      <c r="B17" s="194" t="s">
        <v>159</v>
      </c>
      <c r="C17" s="215">
        <f t="shared" si="0"/>
        <v>125.1</v>
      </c>
      <c r="D17" s="215">
        <f>'B41'!R19</f>
        <v>0</v>
      </c>
      <c r="E17" s="215">
        <f>'B41'!S19</f>
        <v>0</v>
      </c>
      <c r="F17" s="215">
        <f>'B41'!T19</f>
        <v>125.1</v>
      </c>
    </row>
    <row r="18" spans="1:6" ht="15.75">
      <c r="A18" s="193">
        <v>11</v>
      </c>
      <c r="B18" s="194" t="s">
        <v>160</v>
      </c>
      <c r="C18" s="215">
        <f t="shared" si="0"/>
        <v>67</v>
      </c>
      <c r="D18" s="215">
        <f>'B41'!R20</f>
        <v>0</v>
      </c>
      <c r="E18" s="215">
        <f>'B41'!S20</f>
        <v>0</v>
      </c>
      <c r="F18" s="215">
        <f>'B41'!T20</f>
        <v>67</v>
      </c>
    </row>
    <row r="19" spans="1:6" ht="15.75">
      <c r="A19" s="193">
        <v>12</v>
      </c>
      <c r="B19" s="194" t="s">
        <v>161</v>
      </c>
      <c r="C19" s="215">
        <f t="shared" si="0"/>
        <v>130.2</v>
      </c>
      <c r="D19" s="215">
        <f>'B41'!R21</f>
        <v>0</v>
      </c>
      <c r="E19" s="215">
        <f>'B41'!S21</f>
        <v>0</v>
      </c>
      <c r="F19" s="215">
        <f>'B41'!T21</f>
        <v>130.2</v>
      </c>
    </row>
    <row r="20" spans="1:6" ht="15.75">
      <c r="A20" s="193">
        <v>13</v>
      </c>
      <c r="B20" s="194" t="s">
        <v>162</v>
      </c>
      <c r="C20" s="215">
        <f t="shared" si="0"/>
        <v>74.5</v>
      </c>
      <c r="D20" s="215">
        <f>'B41'!R22</f>
        <v>0</v>
      </c>
      <c r="E20" s="215">
        <f>'B41'!S22</f>
        <v>0</v>
      </c>
      <c r="F20" s="215">
        <f>'B41'!T22</f>
        <v>74.5</v>
      </c>
    </row>
    <row r="21" spans="1:6" ht="15.75">
      <c r="A21" s="193">
        <v>14</v>
      </c>
      <c r="B21" s="194" t="s">
        <v>163</v>
      </c>
      <c r="C21" s="215">
        <f t="shared" si="0"/>
        <v>131.1</v>
      </c>
      <c r="D21" s="215">
        <f>'B41'!R23</f>
        <v>0</v>
      </c>
      <c r="E21" s="215">
        <f>'B41'!S23</f>
        <v>0</v>
      </c>
      <c r="F21" s="215">
        <f>'B41'!T23</f>
        <v>131.1</v>
      </c>
    </row>
    <row r="22" spans="1:6" ht="15.75">
      <c r="A22" s="193">
        <v>15</v>
      </c>
      <c r="B22" s="194" t="s">
        <v>164</v>
      </c>
      <c r="C22" s="215">
        <f t="shared" si="0"/>
        <v>213</v>
      </c>
      <c r="D22" s="215">
        <f>'B41'!R24</f>
        <v>0</v>
      </c>
      <c r="E22" s="215">
        <f>'B41'!S24</f>
        <v>0</v>
      </c>
      <c r="F22" s="215">
        <f>'B41'!T24</f>
        <v>213</v>
      </c>
    </row>
    <row r="23" spans="1:6" ht="15.75">
      <c r="A23" s="319">
        <v>16</v>
      </c>
      <c r="B23" s="320" t="s">
        <v>165</v>
      </c>
      <c r="C23" s="216">
        <f t="shared" si="0"/>
        <v>92.1</v>
      </c>
      <c r="D23" s="216">
        <f>'B41'!R25</f>
        <v>0</v>
      </c>
      <c r="E23" s="216">
        <f>'B41'!S25</f>
        <v>0</v>
      </c>
      <c r="F23" s="216">
        <f>'B41'!T25</f>
        <v>92.1</v>
      </c>
    </row>
  </sheetData>
  <sheetProtection/>
  <mergeCells count="2">
    <mergeCell ref="A2:F2"/>
    <mergeCell ref="A3:F3"/>
  </mergeCells>
  <printOptions horizontalCentered="1"/>
  <pageMargins left="0.7" right="0.7" top="0.5" bottom="0.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C00000"/>
  </sheetPr>
  <dimension ref="A1:S42"/>
  <sheetViews>
    <sheetView showZeros="0" zoomScale="115" zoomScaleNormal="115" zoomScalePageLayoutView="0" workbookViewId="0" topLeftCell="A1">
      <selection activeCell="S1" sqref="S1"/>
    </sheetView>
  </sheetViews>
  <sheetFormatPr defaultColWidth="9.140625" defaultRowHeight="15"/>
  <cols>
    <col min="1" max="1" width="5.421875" style="220" customWidth="1"/>
    <col min="2" max="2" width="19.00390625" style="220" customWidth="1"/>
    <col min="3" max="3" width="6.57421875" style="220" customWidth="1"/>
    <col min="4" max="4" width="7.7109375" style="220" customWidth="1"/>
    <col min="5" max="5" width="8.00390625" style="220" customWidth="1"/>
    <col min="6" max="7" width="6.421875" style="220" customWidth="1"/>
    <col min="8" max="9" width="5.8515625" style="220" customWidth="1"/>
    <col min="10" max="10" width="7.00390625" style="220" customWidth="1"/>
    <col min="11" max="12" width="5.7109375" style="220" customWidth="1"/>
    <col min="13" max="14" width="8.7109375" style="220" customWidth="1"/>
    <col min="15" max="16" width="5.57421875" style="220" customWidth="1"/>
    <col min="17" max="17" width="8.8515625" style="220" customWidth="1"/>
    <col min="18" max="18" width="5.28125" style="220" customWidth="1"/>
    <col min="19" max="19" width="5.7109375" style="220" customWidth="1"/>
    <col min="20" max="16384" width="9.140625" style="220" customWidth="1"/>
  </cols>
  <sheetData>
    <row r="1" spans="1:19" ht="14.25">
      <c r="A1" s="412" t="s">
        <v>500</v>
      </c>
      <c r="S1" s="152" t="s">
        <v>506</v>
      </c>
    </row>
    <row r="2" spans="1:19" ht="15.75">
      <c r="A2" s="445" t="s">
        <v>479</v>
      </c>
      <c r="B2" s="445"/>
      <c r="C2" s="445"/>
      <c r="D2" s="445"/>
      <c r="E2" s="445"/>
      <c r="F2" s="445"/>
      <c r="G2" s="445"/>
      <c r="H2" s="445"/>
      <c r="I2" s="445"/>
      <c r="J2" s="445"/>
      <c r="K2" s="445"/>
      <c r="L2" s="445"/>
      <c r="M2" s="445"/>
      <c r="N2" s="445"/>
      <c r="O2" s="445"/>
      <c r="P2" s="445"/>
      <c r="Q2" s="445"/>
      <c r="R2" s="445"/>
      <c r="S2" s="445"/>
    </row>
    <row r="3" spans="1:19" ht="12.75">
      <c r="A3" s="446" t="s">
        <v>501</v>
      </c>
      <c r="B3" s="446"/>
      <c r="C3" s="446"/>
      <c r="D3" s="446"/>
      <c r="E3" s="446"/>
      <c r="F3" s="446"/>
      <c r="G3" s="446"/>
      <c r="H3" s="446"/>
      <c r="I3" s="446"/>
      <c r="J3" s="446"/>
      <c r="K3" s="446"/>
      <c r="L3" s="446"/>
      <c r="M3" s="446"/>
      <c r="N3" s="446"/>
      <c r="O3" s="446"/>
      <c r="P3" s="446"/>
      <c r="Q3" s="446"/>
      <c r="R3" s="446"/>
      <c r="S3" s="446"/>
    </row>
    <row r="4" ht="12.75">
      <c r="S4" s="272" t="s">
        <v>10</v>
      </c>
    </row>
    <row r="5" spans="1:19" ht="15.75" customHeight="1">
      <c r="A5" s="444" t="s">
        <v>0</v>
      </c>
      <c r="B5" s="444" t="s">
        <v>173</v>
      </c>
      <c r="C5" s="444" t="s">
        <v>130</v>
      </c>
      <c r="D5" s="444" t="s">
        <v>208</v>
      </c>
      <c r="E5" s="444"/>
      <c r="F5" s="444" t="s">
        <v>359</v>
      </c>
      <c r="G5" s="444"/>
      <c r="H5" s="444"/>
      <c r="I5" s="444"/>
      <c r="J5" s="444"/>
      <c r="K5" s="444"/>
      <c r="L5" s="444"/>
      <c r="M5" s="444" t="s">
        <v>360</v>
      </c>
      <c r="N5" s="444"/>
      <c r="O5" s="444"/>
      <c r="P5" s="444"/>
      <c r="Q5" s="444"/>
      <c r="R5" s="444"/>
      <c r="S5" s="444"/>
    </row>
    <row r="6" spans="1:19" ht="12.75">
      <c r="A6" s="444"/>
      <c r="B6" s="444"/>
      <c r="C6" s="444"/>
      <c r="D6" s="444" t="s">
        <v>348</v>
      </c>
      <c r="E6" s="444" t="s">
        <v>349</v>
      </c>
      <c r="F6" s="444" t="s">
        <v>130</v>
      </c>
      <c r="G6" s="444" t="s">
        <v>348</v>
      </c>
      <c r="H6" s="444"/>
      <c r="I6" s="444"/>
      <c r="J6" s="444" t="s">
        <v>349</v>
      </c>
      <c r="K6" s="444"/>
      <c r="L6" s="444"/>
      <c r="M6" s="444" t="s">
        <v>130</v>
      </c>
      <c r="N6" s="444" t="s">
        <v>348</v>
      </c>
      <c r="O6" s="444"/>
      <c r="P6" s="444"/>
      <c r="Q6" s="444" t="s">
        <v>349</v>
      </c>
      <c r="R6" s="444"/>
      <c r="S6" s="444"/>
    </row>
    <row r="7" spans="1:19" ht="38.25">
      <c r="A7" s="444"/>
      <c r="B7" s="444"/>
      <c r="C7" s="444"/>
      <c r="D7" s="444"/>
      <c r="E7" s="444"/>
      <c r="F7" s="444"/>
      <c r="G7" s="274" t="s">
        <v>130</v>
      </c>
      <c r="H7" s="274" t="s">
        <v>350</v>
      </c>
      <c r="I7" s="274" t="s">
        <v>351</v>
      </c>
      <c r="J7" s="274" t="s">
        <v>130</v>
      </c>
      <c r="K7" s="274" t="s">
        <v>350</v>
      </c>
      <c r="L7" s="274" t="s">
        <v>351</v>
      </c>
      <c r="M7" s="444"/>
      <c r="N7" s="274" t="s">
        <v>130</v>
      </c>
      <c r="O7" s="274" t="s">
        <v>350</v>
      </c>
      <c r="P7" s="274" t="s">
        <v>351</v>
      </c>
      <c r="Q7" s="274" t="s">
        <v>130</v>
      </c>
      <c r="R7" s="274" t="s">
        <v>350</v>
      </c>
      <c r="S7" s="274" t="s">
        <v>351</v>
      </c>
    </row>
    <row r="8" spans="1:19" s="323" customFormat="1" ht="12.75">
      <c r="A8" s="273" t="s">
        <v>1</v>
      </c>
      <c r="B8" s="273" t="s">
        <v>6</v>
      </c>
      <c r="C8" s="273" t="s">
        <v>178</v>
      </c>
      <c r="D8" s="273" t="s">
        <v>352</v>
      </c>
      <c r="E8" s="273" t="s">
        <v>353</v>
      </c>
      <c r="F8" s="273" t="s">
        <v>354</v>
      </c>
      <c r="G8" s="273" t="s">
        <v>343</v>
      </c>
      <c r="H8" s="273">
        <v>6</v>
      </c>
      <c r="I8" s="273">
        <v>7</v>
      </c>
      <c r="J8" s="273" t="s">
        <v>355</v>
      </c>
      <c r="K8" s="273">
        <v>9</v>
      </c>
      <c r="L8" s="273">
        <v>10</v>
      </c>
      <c r="M8" s="273" t="s">
        <v>356</v>
      </c>
      <c r="N8" s="273" t="s">
        <v>357</v>
      </c>
      <c r="O8" s="273">
        <v>13</v>
      </c>
      <c r="P8" s="273">
        <v>14</v>
      </c>
      <c r="Q8" s="273" t="s">
        <v>358</v>
      </c>
      <c r="R8" s="273">
        <v>16</v>
      </c>
      <c r="S8" s="273">
        <v>17</v>
      </c>
    </row>
    <row r="9" spans="1:19" s="323" customFormat="1" ht="12.75">
      <c r="A9" s="218"/>
      <c r="B9" s="324" t="s">
        <v>149</v>
      </c>
      <c r="C9" s="219">
        <f aca="true" t="shared" si="0" ref="C9:S9">SUM(C10,C15)</f>
        <v>6188</v>
      </c>
      <c r="D9" s="219">
        <f t="shared" si="0"/>
        <v>0</v>
      </c>
      <c r="E9" s="219">
        <f t="shared" si="0"/>
        <v>6188</v>
      </c>
      <c r="F9" s="219">
        <f t="shared" si="0"/>
        <v>6188</v>
      </c>
      <c r="G9" s="219">
        <f t="shared" si="0"/>
        <v>0</v>
      </c>
      <c r="H9" s="219">
        <f t="shared" si="0"/>
        <v>0</v>
      </c>
      <c r="I9" s="219">
        <f t="shared" si="0"/>
        <v>0</v>
      </c>
      <c r="J9" s="219">
        <f t="shared" si="0"/>
        <v>6188</v>
      </c>
      <c r="K9" s="219">
        <f t="shared" si="0"/>
        <v>6188</v>
      </c>
      <c r="L9" s="219">
        <f t="shared" si="0"/>
        <v>0</v>
      </c>
      <c r="M9" s="219">
        <f t="shared" si="0"/>
        <v>0</v>
      </c>
      <c r="N9" s="219">
        <f t="shared" si="0"/>
        <v>0</v>
      </c>
      <c r="O9" s="219">
        <f t="shared" si="0"/>
        <v>0</v>
      </c>
      <c r="P9" s="219">
        <f t="shared" si="0"/>
        <v>0</v>
      </c>
      <c r="Q9" s="219">
        <f t="shared" si="0"/>
        <v>0</v>
      </c>
      <c r="R9" s="219">
        <f t="shared" si="0"/>
        <v>0</v>
      </c>
      <c r="S9" s="219">
        <f t="shared" si="0"/>
        <v>0</v>
      </c>
    </row>
    <row r="10" spans="1:19" s="323" customFormat="1" ht="12.75">
      <c r="A10" s="325" t="s">
        <v>2</v>
      </c>
      <c r="B10" s="326" t="s">
        <v>184</v>
      </c>
      <c r="C10" s="327">
        <f>SUM(C11:C14)</f>
        <v>4082</v>
      </c>
      <c r="D10" s="327">
        <f aca="true" t="shared" si="1" ref="D10:S10">SUM(D11:D14)</f>
        <v>0</v>
      </c>
      <c r="E10" s="327">
        <f t="shared" si="1"/>
        <v>4082</v>
      </c>
      <c r="F10" s="327">
        <f t="shared" si="1"/>
        <v>4082</v>
      </c>
      <c r="G10" s="327">
        <f t="shared" si="1"/>
        <v>0</v>
      </c>
      <c r="H10" s="327">
        <f t="shared" si="1"/>
        <v>0</v>
      </c>
      <c r="I10" s="327">
        <f t="shared" si="1"/>
        <v>0</v>
      </c>
      <c r="J10" s="327">
        <f t="shared" si="1"/>
        <v>4082</v>
      </c>
      <c r="K10" s="327">
        <f t="shared" si="1"/>
        <v>4082</v>
      </c>
      <c r="L10" s="327">
        <f t="shared" si="1"/>
        <v>0</v>
      </c>
      <c r="M10" s="327">
        <f t="shared" si="1"/>
        <v>0</v>
      </c>
      <c r="N10" s="327">
        <f t="shared" si="1"/>
        <v>0</v>
      </c>
      <c r="O10" s="327">
        <f t="shared" si="1"/>
        <v>0</v>
      </c>
      <c r="P10" s="327">
        <f t="shared" si="1"/>
        <v>0</v>
      </c>
      <c r="Q10" s="327">
        <f t="shared" si="1"/>
        <v>0</v>
      </c>
      <c r="R10" s="327">
        <f t="shared" si="1"/>
        <v>0</v>
      </c>
      <c r="S10" s="327">
        <f t="shared" si="1"/>
        <v>0</v>
      </c>
    </row>
    <row r="11" spans="1:19" s="323" customFormat="1" ht="12.75">
      <c r="A11" s="221">
        <v>1</v>
      </c>
      <c r="B11" s="222" t="s">
        <v>222</v>
      </c>
      <c r="C11" s="223">
        <f aca="true" t="shared" si="2" ref="C11:C17">SUM(D11:E11)</f>
        <v>2667</v>
      </c>
      <c r="D11" s="223">
        <f aca="true" t="shared" si="3" ref="D11:D17">SUM(G11,N11)</f>
        <v>0</v>
      </c>
      <c r="E11" s="223">
        <f aca="true" t="shared" si="4" ref="E11:E17">SUM(J11,Q11)</f>
        <v>2667</v>
      </c>
      <c r="F11" s="223">
        <f aca="true" t="shared" si="5" ref="F11:F17">SUM(G11,J11)</f>
        <v>2667</v>
      </c>
      <c r="G11" s="223">
        <f>SUM(H11:I11)</f>
        <v>0</v>
      </c>
      <c r="H11" s="223"/>
      <c r="I11" s="223"/>
      <c r="J11" s="223">
        <f aca="true" t="shared" si="6" ref="J11:J17">SUM(K11:L11)</f>
        <v>2667</v>
      </c>
      <c r="K11" s="223">
        <f>2667</f>
        <v>2667</v>
      </c>
      <c r="L11" s="223"/>
      <c r="M11" s="223">
        <f>SUM(N11,Q11)</f>
        <v>0</v>
      </c>
      <c r="N11" s="223">
        <f>SUM(O11:P11)</f>
        <v>0</v>
      </c>
      <c r="O11" s="223"/>
      <c r="P11" s="223"/>
      <c r="Q11" s="223">
        <f>SUM(R11:S11)</f>
        <v>0</v>
      </c>
      <c r="R11" s="223"/>
      <c r="S11" s="223"/>
    </row>
    <row r="12" spans="1:19" s="323" customFormat="1" ht="12.75">
      <c r="A12" s="221">
        <v>2</v>
      </c>
      <c r="B12" s="222" t="s">
        <v>438</v>
      </c>
      <c r="C12" s="223">
        <f t="shared" si="2"/>
        <v>225</v>
      </c>
      <c r="D12" s="223">
        <f t="shared" si="3"/>
        <v>0</v>
      </c>
      <c r="E12" s="223">
        <f t="shared" si="4"/>
        <v>225</v>
      </c>
      <c r="F12" s="223">
        <f t="shared" si="5"/>
        <v>225</v>
      </c>
      <c r="G12" s="223">
        <f>SUM(H12:I12)</f>
        <v>0</v>
      </c>
      <c r="H12" s="223"/>
      <c r="I12" s="223"/>
      <c r="J12" s="223">
        <f t="shared" si="6"/>
        <v>225</v>
      </c>
      <c r="K12" s="223">
        <f>225</f>
        <v>225</v>
      </c>
      <c r="L12" s="223"/>
      <c r="M12" s="223">
        <f>SUM(N12,Q12)</f>
        <v>0</v>
      </c>
      <c r="N12" s="223">
        <f>SUM(O12:P12)</f>
        <v>0</v>
      </c>
      <c r="O12" s="223"/>
      <c r="P12" s="223"/>
      <c r="Q12" s="223">
        <f>SUM(R12:S12)</f>
        <v>0</v>
      </c>
      <c r="R12" s="223">
        <f>'BS74'!J11</f>
        <v>0</v>
      </c>
      <c r="S12" s="223"/>
    </row>
    <row r="13" spans="1:19" s="323" customFormat="1" ht="12.75">
      <c r="A13" s="221">
        <v>3</v>
      </c>
      <c r="B13" s="222" t="s">
        <v>265</v>
      </c>
      <c r="C13" s="223">
        <f t="shared" si="2"/>
        <v>1159</v>
      </c>
      <c r="D13" s="223">
        <f t="shared" si="3"/>
        <v>0</v>
      </c>
      <c r="E13" s="223">
        <f t="shared" si="4"/>
        <v>1159</v>
      </c>
      <c r="F13" s="223">
        <f t="shared" si="5"/>
        <v>1159</v>
      </c>
      <c r="G13" s="223">
        <f>SUM(H13:I13)</f>
        <v>0</v>
      </c>
      <c r="H13" s="223"/>
      <c r="I13" s="223"/>
      <c r="J13" s="223">
        <f t="shared" si="6"/>
        <v>1159</v>
      </c>
      <c r="K13" s="223">
        <f>1159</f>
        <v>1159</v>
      </c>
      <c r="L13" s="223"/>
      <c r="M13" s="223">
        <f>SUM(N13,Q13)</f>
        <v>0</v>
      </c>
      <c r="N13" s="223">
        <f>SUM(O13:P13)</f>
        <v>0</v>
      </c>
      <c r="O13" s="223"/>
      <c r="P13" s="223"/>
      <c r="Q13" s="223">
        <f>SUM(R13:S13)</f>
        <v>0</v>
      </c>
      <c r="R13" s="223">
        <f>'BS74'!J11</f>
        <v>0</v>
      </c>
      <c r="S13" s="223"/>
    </row>
    <row r="14" spans="1:19" s="323" customFormat="1" ht="25.5">
      <c r="A14" s="221">
        <v>4</v>
      </c>
      <c r="B14" s="222" t="s">
        <v>251</v>
      </c>
      <c r="C14" s="223">
        <f t="shared" si="2"/>
        <v>31</v>
      </c>
      <c r="D14" s="223">
        <f t="shared" si="3"/>
        <v>0</v>
      </c>
      <c r="E14" s="223">
        <f t="shared" si="4"/>
        <v>31</v>
      </c>
      <c r="F14" s="223">
        <f t="shared" si="5"/>
        <v>31</v>
      </c>
      <c r="G14" s="223">
        <f>SUM(H14:I14)</f>
        <v>0</v>
      </c>
      <c r="H14" s="223"/>
      <c r="I14" s="223"/>
      <c r="J14" s="223">
        <f t="shared" si="6"/>
        <v>31</v>
      </c>
      <c r="K14" s="223">
        <f>2362-K12-K16</f>
        <v>31</v>
      </c>
      <c r="L14" s="223"/>
      <c r="M14" s="223">
        <f>SUM(N14,Q14)</f>
        <v>0</v>
      </c>
      <c r="N14" s="223">
        <f>SUM(O14:P14)</f>
        <v>0</v>
      </c>
      <c r="O14" s="223"/>
      <c r="P14" s="223"/>
      <c r="Q14" s="223">
        <f>SUM(R14:S14)</f>
        <v>0</v>
      </c>
      <c r="R14" s="223">
        <f>'BS74'!J12</f>
        <v>0</v>
      </c>
      <c r="S14" s="223"/>
    </row>
    <row r="15" spans="1:19" s="323" customFormat="1" ht="12.75">
      <c r="A15" s="325" t="s">
        <v>3</v>
      </c>
      <c r="B15" s="326" t="s">
        <v>185</v>
      </c>
      <c r="C15" s="327">
        <f t="shared" si="2"/>
        <v>2106</v>
      </c>
      <c r="D15" s="327">
        <f t="shared" si="3"/>
        <v>0</v>
      </c>
      <c r="E15" s="327">
        <f t="shared" si="4"/>
        <v>2106</v>
      </c>
      <c r="F15" s="327">
        <f t="shared" si="5"/>
        <v>2106</v>
      </c>
      <c r="G15" s="327"/>
      <c r="H15" s="327"/>
      <c r="I15" s="327"/>
      <c r="J15" s="327">
        <f t="shared" si="6"/>
        <v>2106</v>
      </c>
      <c r="K15" s="327">
        <f>2106</f>
        <v>2106</v>
      </c>
      <c r="L15" s="327"/>
      <c r="M15" s="327"/>
      <c r="N15" s="327"/>
      <c r="O15" s="327"/>
      <c r="P15" s="327"/>
      <c r="Q15" s="327"/>
      <c r="R15" s="327"/>
      <c r="S15" s="327"/>
    </row>
    <row r="16" spans="1:19" s="323" customFormat="1" ht="12.75">
      <c r="A16" s="221">
        <v>1</v>
      </c>
      <c r="B16" s="222" t="s">
        <v>439</v>
      </c>
      <c r="C16" s="223">
        <f t="shared" si="2"/>
        <v>2106</v>
      </c>
      <c r="D16" s="223">
        <f t="shared" si="3"/>
        <v>0</v>
      </c>
      <c r="E16" s="223">
        <f t="shared" si="4"/>
        <v>2106</v>
      </c>
      <c r="F16" s="223">
        <f t="shared" si="5"/>
        <v>2106</v>
      </c>
      <c r="G16" s="223">
        <f>SUM(H16:I16)</f>
        <v>0</v>
      </c>
      <c r="H16" s="223"/>
      <c r="I16" s="223"/>
      <c r="J16" s="223">
        <f t="shared" si="6"/>
        <v>2106</v>
      </c>
      <c r="K16" s="223">
        <f>2106</f>
        <v>2106</v>
      </c>
      <c r="L16" s="223"/>
      <c r="M16" s="223"/>
      <c r="N16" s="223"/>
      <c r="O16" s="223"/>
      <c r="P16" s="223"/>
      <c r="Q16" s="223"/>
      <c r="R16" s="223"/>
      <c r="S16" s="223"/>
    </row>
    <row r="17" spans="1:19" s="323" customFormat="1" ht="25.5" hidden="1">
      <c r="A17" s="334">
        <v>2</v>
      </c>
      <c r="B17" s="348" t="s">
        <v>440</v>
      </c>
      <c r="C17" s="339">
        <f t="shared" si="2"/>
        <v>0</v>
      </c>
      <c r="D17" s="339">
        <f t="shared" si="3"/>
        <v>0</v>
      </c>
      <c r="E17" s="339">
        <f t="shared" si="4"/>
        <v>0</v>
      </c>
      <c r="F17" s="339">
        <f t="shared" si="5"/>
        <v>0</v>
      </c>
      <c r="G17" s="339">
        <f>SUM(H17:I17)</f>
        <v>0</v>
      </c>
      <c r="H17" s="339"/>
      <c r="I17" s="339"/>
      <c r="J17" s="339">
        <f t="shared" si="6"/>
        <v>0</v>
      </c>
      <c r="K17" s="335"/>
      <c r="L17" s="335"/>
      <c r="M17" s="335"/>
      <c r="N17" s="335"/>
      <c r="O17" s="335"/>
      <c r="P17" s="335"/>
      <c r="Q17" s="335"/>
      <c r="R17" s="335"/>
      <c r="S17" s="335"/>
    </row>
    <row r="18" spans="1:19" s="323" customFormat="1" ht="12.75">
      <c r="A18" s="224"/>
      <c r="B18" s="225"/>
      <c r="C18" s="226"/>
      <c r="D18" s="226"/>
      <c r="E18" s="226"/>
      <c r="F18" s="226"/>
      <c r="G18" s="226"/>
      <c r="H18" s="226"/>
      <c r="I18" s="226"/>
      <c r="J18" s="226"/>
      <c r="K18" s="226"/>
      <c r="L18" s="226"/>
      <c r="M18" s="226"/>
      <c r="N18" s="226"/>
      <c r="O18" s="226"/>
      <c r="P18" s="226"/>
      <c r="Q18" s="226"/>
      <c r="R18" s="226"/>
      <c r="S18" s="226"/>
    </row>
    <row r="19" ht="12.75">
      <c r="A19" s="328"/>
    </row>
    <row r="20" ht="12.75">
      <c r="A20" s="328"/>
    </row>
    <row r="21" ht="12.75">
      <c r="A21" s="328"/>
    </row>
    <row r="22" ht="12.75">
      <c r="A22" s="328"/>
    </row>
    <row r="23" ht="12.75">
      <c r="A23" s="328"/>
    </row>
    <row r="24" ht="12.75">
      <c r="A24" s="328"/>
    </row>
    <row r="25" ht="12.75">
      <c r="A25" s="328"/>
    </row>
    <row r="26" ht="12.75">
      <c r="A26" s="328"/>
    </row>
    <row r="27" ht="12.75">
      <c r="A27" s="328"/>
    </row>
    <row r="28" ht="12.75">
      <c r="A28" s="328"/>
    </row>
    <row r="29" ht="12.75">
      <c r="A29" s="328"/>
    </row>
    <row r="30" ht="12.75">
      <c r="A30" s="328"/>
    </row>
    <row r="31" ht="12.75">
      <c r="A31" s="328"/>
    </row>
    <row r="32" ht="12.75">
      <c r="A32" s="328"/>
    </row>
    <row r="33" ht="12.75">
      <c r="A33" s="328"/>
    </row>
    <row r="34" ht="12.75">
      <c r="A34" s="328"/>
    </row>
    <row r="35" ht="12.75">
      <c r="A35" s="328"/>
    </row>
    <row r="36" ht="12.75">
      <c r="A36" s="328"/>
    </row>
    <row r="37" ht="12.75">
      <c r="A37" s="328"/>
    </row>
    <row r="38" ht="12.75">
      <c r="A38" s="328"/>
    </row>
    <row r="39" ht="12.75">
      <c r="A39" s="328"/>
    </row>
    <row r="40" ht="12.75">
      <c r="A40" s="328"/>
    </row>
    <row r="41" ht="12.75">
      <c r="A41" s="328"/>
    </row>
    <row r="42" ht="12.75">
      <c r="A42" s="328"/>
    </row>
  </sheetData>
  <sheetProtection/>
  <mergeCells count="16">
    <mergeCell ref="A2:S2"/>
    <mergeCell ref="A3:S3"/>
    <mergeCell ref="A5:A7"/>
    <mergeCell ref="B5:B7"/>
    <mergeCell ref="C5:C7"/>
    <mergeCell ref="D5:E5"/>
    <mergeCell ref="F5:L5"/>
    <mergeCell ref="M5:S5"/>
    <mergeCell ref="D6:D7"/>
    <mergeCell ref="E6:E7"/>
    <mergeCell ref="F6:F7"/>
    <mergeCell ref="G6:I6"/>
    <mergeCell ref="J6:L6"/>
    <mergeCell ref="M6:M7"/>
    <mergeCell ref="N6:P6"/>
    <mergeCell ref="Q6:S6"/>
  </mergeCells>
  <printOptions horizontalCentered="1"/>
  <pageMargins left="0.4" right="0.4"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 Computer</dc:creator>
  <cp:keywords/>
  <dc:description/>
  <cp:lastModifiedBy>pc</cp:lastModifiedBy>
  <cp:lastPrinted>2019-12-13T12:26:56Z</cp:lastPrinted>
  <dcterms:created xsi:type="dcterms:W3CDTF">2017-07-23T16:38:44Z</dcterms:created>
  <dcterms:modified xsi:type="dcterms:W3CDTF">2019-12-16T09:27:14Z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2019-12-24T00:00:00Z</vt:lpwstr>
  </property>
  <property fmtid="{D5CDD505-2E9C-101B-9397-08002B2CF9AE}" pid="4" name="ContentTy">
    <vt:lpwstr>Hình ảnh</vt:lpwstr>
  </property>
  <property fmtid="{D5CDD505-2E9C-101B-9397-08002B2CF9AE}" pid="5" name="Ngày g">
    <vt:lpwstr>2019-12-24T11:06:00Z</vt:lpwstr>
  </property>
</Properties>
</file>