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2"/>
  </bookViews>
  <sheets>
    <sheet name="BS93" sheetId="1" r:id="rId1"/>
    <sheet name="BS94" sheetId="2" r:id="rId2"/>
    <sheet name="BS95" sheetId="3" r:id="rId3"/>
    <sheet name="Sheet1" sheetId="4" r:id="rId4"/>
  </sheets>
  <externalReferences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<sst xmlns="http://schemas.openxmlformats.org/spreadsheetml/2006/main" count="144" uniqueCount="82">
  <si>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</si>
  <si>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</si>
  <si>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</si>
  <si>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</si>
  <si>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</si>
  <si>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</si>
  <si>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</si>
  <si>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</si>
  <si>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</si>
  <si>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</si>
  <si>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</si>
  <si>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</si>
  <si>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</si>
  <si>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</si>
  <si>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</si>
  <si>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</si>
  <si>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</si>
  <si>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</si>
  <si>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</si>
  <si>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</si>
  <si>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</si>
  <si>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</si>
  <si>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</si>
  <si>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</si>
  <si>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</si>
  <si>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</si>
  <si>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</si>
  <si>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</si>
  <si>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</si>
  <si>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</si>
  <si>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</si>
  <si>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</si>
  <si>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</si>
  <si>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</si>
  <si>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</si>
  <si>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</si>
  <si>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</si>
  <si>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</si>
  <si>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</si>
  <si>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</si>
  <si>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</si>
  <si>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</si>
  <si>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</si>
  <si>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</si>
  <si>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</si>
  <si>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</si>
  <si>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</si>
  <si>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</si>
  <si>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</si>
  <si>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</si>
  <si>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</si>
  <si>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</si>
  <si>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</si>
  <si>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</si>
  <si>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</si>
  <si>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</si>
  <si>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</si>
  <si>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</si>
  <si>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</si>
  <si>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</si>
  <si>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</si>
  <si>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</si>
  <si>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</si>
  <si>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</si>
  <si>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</si>
  <si>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</si>
  <si>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</si>
  <si>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</si>
  <si>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</si>
  <si>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</si>
  <si>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</si>
  <si>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</si>
  <si>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</si>
  <si>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</si>
  <si>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</si>
  <si>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</si>
  <si>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</si>
  <si>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>CÂN ĐỐI NGÂN SÁCH QUẬN NĂM 2018</t>
  </si>
  <si>
    <t>THỰC HIỆN THU NGÂN SÁCH NHÀ NƯỚC NĂM 2018</t>
  </si>
  <si>
    <t>THỰC HIỆN CHI NGÂN SÁCH QUẬN NĂM 2018</t>
  </si>
  <si>
    <t>Dự toán chi đầu tư phát triển: được giao theo Quyết định số 6608/QĐ-UBND ngày 27/12/2017 và bổ sung</t>
  </si>
  <si>
    <t>theo Quyết định số 1910/QĐ-UBND ngày 09/05/2018, số 5283/QĐ-UBND ngày 23/11/2018 của UBND TPHCM.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</si>
</sst>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16" fillId="0" borderId="11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18\BC%20thu%20chi%20NS%202018\BC%20thu%20chi%20thang%20STC%202018%20(i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"/>
      <sheetName val="T11"/>
      <sheetName val="T10"/>
      <sheetName val="T9"/>
      <sheetName val="T8"/>
      <sheetName val="T7"/>
      <sheetName val="T6"/>
      <sheetName val="T5"/>
      <sheetName val="T4"/>
      <sheetName val="T3"/>
      <sheetName val="T2"/>
      <sheetName val="T1"/>
      <sheetName val="Sheet1"/>
      <sheetName val="Sheet2"/>
    </sheetNames>
    <sheetDataSet>
      <sheetData sheetId="0">
        <row r="12">
          <cell r="F12">
            <v>1461924431.1111112</v>
          </cell>
          <cell r="R12">
            <v>62627282</v>
          </cell>
        </row>
        <row r="16">
          <cell r="R16">
            <v>739567835</v>
          </cell>
        </row>
        <row r="17">
          <cell r="R17">
            <v>88883278</v>
          </cell>
        </row>
        <row r="21">
          <cell r="G21">
            <v>83997670</v>
          </cell>
        </row>
        <row r="22">
          <cell r="G22">
            <v>31749739</v>
          </cell>
        </row>
        <row r="24">
          <cell r="G24">
            <v>588020</v>
          </cell>
        </row>
        <row r="25">
          <cell r="F25">
            <v>208767336</v>
          </cell>
          <cell r="G25">
            <v>33623518</v>
          </cell>
          <cell r="R25">
            <v>45974043</v>
          </cell>
        </row>
        <row r="27">
          <cell r="F27">
            <v>213089370</v>
          </cell>
        </row>
        <row r="28">
          <cell r="F28">
            <v>11912598</v>
          </cell>
          <cell r="G28">
            <v>11912599</v>
          </cell>
        </row>
        <row r="29">
          <cell r="F29">
            <v>75239647</v>
          </cell>
        </row>
        <row r="30">
          <cell r="F30">
            <v>158617879</v>
          </cell>
          <cell r="R30">
            <v>271793306</v>
          </cell>
        </row>
        <row r="33">
          <cell r="F33">
            <v>2622880</v>
          </cell>
        </row>
        <row r="34">
          <cell r="F34">
            <v>48532922</v>
          </cell>
          <cell r="G34">
            <v>6287419</v>
          </cell>
        </row>
        <row r="35">
          <cell r="G35">
            <v>17328189</v>
          </cell>
          <cell r="R35">
            <v>69434582</v>
          </cell>
        </row>
        <row r="37">
          <cell r="F37">
            <v>80426687</v>
          </cell>
          <cell r="G37">
            <v>48629553</v>
          </cell>
        </row>
        <row r="38">
          <cell r="R38">
            <v>3073075</v>
          </cell>
        </row>
        <row r="41">
          <cell r="R41">
            <v>4142766</v>
          </cell>
        </row>
        <row r="46">
          <cell r="R46">
            <v>579422</v>
          </cell>
        </row>
        <row r="49">
          <cell r="R49">
            <v>99287852</v>
          </cell>
        </row>
        <row r="57">
          <cell r="R57">
            <v>153218868</v>
          </cell>
        </row>
        <row r="64">
          <cell r="R64">
            <v>48026882</v>
          </cell>
        </row>
        <row r="71">
          <cell r="R71">
            <v>4200879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7">
      <selection activeCell="C20" sqref="C20"/>
    </sheetView>
  </sheetViews>
  <sheetFormatPr defaultColWidth="9.140625" defaultRowHeight="12.75"/>
  <cols>
    <col min="1" max="1" width="5.421875" style="1" customWidth="1"/>
    <col min="2" max="2" width="39.57421875" style="1" customWidth="1"/>
    <col min="3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74</v>
      </c>
      <c r="F1" s="2" t="s">
        <v>55</v>
      </c>
    </row>
    <row r="2" ht="12.75">
      <c r="A2" s="9" t="s">
        <v>75</v>
      </c>
    </row>
    <row r="3" ht="12.75">
      <c r="A3" s="9" t="s">
        <v>76</v>
      </c>
    </row>
    <row r="4" ht="12.75">
      <c r="A4" s="9"/>
    </row>
    <row r="5" spans="1:6" s="3" customFormat="1" ht="16.5">
      <c r="A5" s="107" t="s">
        <v>77</v>
      </c>
      <c r="B5" s="107"/>
      <c r="C5" s="107"/>
      <c r="D5" s="107"/>
      <c r="E5" s="107"/>
      <c r="F5" s="107"/>
    </row>
    <row r="6" spans="1:6" s="4" customFormat="1" ht="12.75" hidden="1">
      <c r="A6" s="108" t="s">
        <v>54</v>
      </c>
      <c r="B6" s="108"/>
      <c r="C6" s="108"/>
      <c r="D6" s="108"/>
      <c r="E6" s="108"/>
      <c r="F6" s="108"/>
    </row>
    <row r="7" ht="12.75">
      <c r="F7" s="85" t="s">
        <v>27</v>
      </c>
    </row>
    <row r="8" spans="1:6" ht="12.75">
      <c r="A8" s="76" t="s">
        <v>0</v>
      </c>
      <c r="B8" s="76" t="s">
        <v>34</v>
      </c>
      <c r="C8" s="77" t="s">
        <v>18</v>
      </c>
      <c r="D8" s="77" t="s">
        <v>30</v>
      </c>
      <c r="E8" s="78" t="s">
        <v>57</v>
      </c>
      <c r="F8" s="78"/>
    </row>
    <row r="9" spans="1:6" ht="12.75">
      <c r="A9" s="79"/>
      <c r="B9" s="80"/>
      <c r="C9" s="81" t="s">
        <v>31</v>
      </c>
      <c r="D9" s="81" t="s">
        <v>31</v>
      </c>
      <c r="E9" s="81" t="s">
        <v>56</v>
      </c>
      <c r="F9" s="81" t="s">
        <v>32</v>
      </c>
    </row>
    <row r="10" spans="1:6" ht="12.75">
      <c r="A10" s="82"/>
      <c r="B10" s="83"/>
      <c r="C10" s="84"/>
      <c r="D10" s="84"/>
      <c r="E10" s="84"/>
      <c r="F10" s="84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15" t="s">
        <v>7</v>
      </c>
      <c r="B12" s="36" t="s">
        <v>72</v>
      </c>
      <c r="C12" s="25">
        <f>C13+C16</f>
        <v>946171</v>
      </c>
      <c r="D12" s="25">
        <f>D13+D16</f>
        <v>1291573</v>
      </c>
      <c r="E12" s="39">
        <f>D12/C12*100</f>
        <v>136.50524059604447</v>
      </c>
      <c r="F12" s="39">
        <f>D12/1103164*100</f>
        <v>117.07896559351103</v>
      </c>
    </row>
    <row r="13" spans="1:6" ht="12.75">
      <c r="A13" s="10" t="s">
        <v>1</v>
      </c>
      <c r="B13" s="31" t="s">
        <v>58</v>
      </c>
      <c r="C13" s="27">
        <f>SUM(C14:C15)</f>
        <v>946171</v>
      </c>
      <c r="D13" s="27">
        <f>SUM(D14:D15)</f>
        <v>1246058</v>
      </c>
      <c r="E13" s="39">
        <f>D13/C13*100</f>
        <v>131.6947993544507</v>
      </c>
      <c r="F13" s="68">
        <f>D13/(1103164-42807)*100</f>
        <v>117.51306399637103</v>
      </c>
    </row>
    <row r="14" spans="1:6" ht="12.75">
      <c r="A14" s="11">
        <v>1</v>
      </c>
      <c r="B14" s="32" t="s">
        <v>9</v>
      </c>
      <c r="C14" s="13">
        <v>946171</v>
      </c>
      <c r="D14" s="13">
        <f>1291573-45515</f>
        <v>1246058</v>
      </c>
      <c r="E14" s="42">
        <f>D14/C14*100</f>
        <v>131.6947993544507</v>
      </c>
      <c r="F14" s="41">
        <f>D14/(1103164-42807)*100</f>
        <v>117.51306399637103</v>
      </c>
    </row>
    <row r="15" spans="1:6" ht="12.75">
      <c r="A15" s="11">
        <v>2</v>
      </c>
      <c r="B15" s="32" t="s">
        <v>41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v>45515</v>
      </c>
      <c r="E16" s="39"/>
      <c r="F16" s="43"/>
    </row>
    <row r="17" spans="1:8" ht="12.75">
      <c r="A17" s="10" t="s">
        <v>8</v>
      </c>
      <c r="B17" s="30" t="s">
        <v>13</v>
      </c>
      <c r="C17" s="27">
        <f>SUM(C18,C22,C25)</f>
        <v>946171</v>
      </c>
      <c r="D17" s="27">
        <f>SUM(D18,D22,D25)</f>
        <v>802195.117</v>
      </c>
      <c r="E17" s="39">
        <f aca="true" t="shared" si="0" ref="E17:E22">D17/C17*100</f>
        <v>84.7833126358766</v>
      </c>
      <c r="F17" s="39">
        <f>D17/749430*100</f>
        <v>107.0406998652309</v>
      </c>
      <c r="G17" s="8"/>
      <c r="H17" s="71"/>
    </row>
    <row r="18" spans="1:7" ht="12.75">
      <c r="A18" s="10" t="s">
        <v>1</v>
      </c>
      <c r="B18" s="30" t="s">
        <v>14</v>
      </c>
      <c r="C18" s="27">
        <f>SUM(C19:C21)</f>
        <v>943534</v>
      </c>
      <c r="D18" s="27">
        <f>SUM(D19:D21)</f>
        <v>799122.042</v>
      </c>
      <c r="E18" s="39">
        <f t="shared" si="0"/>
        <v>84.69456765733932</v>
      </c>
      <c r="F18" s="39">
        <f>D18/(749430-2080)*100</f>
        <v>106.92741580250218</v>
      </c>
      <c r="G18" s="5"/>
    </row>
    <row r="19" spans="1:7" ht="12.75">
      <c r="A19" s="11">
        <v>1</v>
      </c>
      <c r="B19" s="32" t="s">
        <v>4</v>
      </c>
      <c r="C19" s="100">
        <v>84818</v>
      </c>
      <c r="D19" s="12">
        <f>'[1]T12'!$R$12/1000</f>
        <v>62627.282</v>
      </c>
      <c r="E19" s="42">
        <f t="shared" si="0"/>
        <v>73.8372538847886</v>
      </c>
      <c r="F19" s="42">
        <f>D19/41718*100</f>
        <v>150.12052830912316</v>
      </c>
      <c r="G19" s="5"/>
    </row>
    <row r="20" spans="1:7" ht="12.75">
      <c r="A20" s="11">
        <v>2</v>
      </c>
      <c r="B20" s="32" t="s">
        <v>5</v>
      </c>
      <c r="C20" s="12">
        <f>861353-23630-2637</f>
        <v>835086</v>
      </c>
      <c r="D20" s="12">
        <f>('[1]T12'!$R$16-'[1]T12'!$R$38)/1000</f>
        <v>736494.76</v>
      </c>
      <c r="E20" s="42">
        <f t="shared" si="0"/>
        <v>88.1938818277399</v>
      </c>
      <c r="F20" s="42">
        <f>D20/(707712-2080)*100</f>
        <v>104.37377556573398</v>
      </c>
      <c r="G20" s="101"/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 t="shared" si="0"/>
        <v>0</v>
      </c>
      <c r="F21" s="42"/>
      <c r="G21" s="5"/>
    </row>
    <row r="22" spans="1:7" ht="12.75">
      <c r="A22" s="19" t="s">
        <v>2</v>
      </c>
      <c r="B22" s="75" t="s">
        <v>71</v>
      </c>
      <c r="C22" s="29">
        <v>2637</v>
      </c>
      <c r="D22" s="29">
        <f>'[1]T12'!$R$38/1000</f>
        <v>3073.075</v>
      </c>
      <c r="E22" s="44">
        <f t="shared" si="0"/>
        <v>116.53678422449754</v>
      </c>
      <c r="F22" s="44">
        <f>D22/2080*100</f>
        <v>147.7439903846154</v>
      </c>
      <c r="G22" s="5"/>
    </row>
    <row r="23" spans="1:7" ht="12.75" hidden="1">
      <c r="A23" s="72"/>
      <c r="B23" s="73"/>
      <c r="C23" s="74"/>
      <c r="D23" s="74"/>
      <c r="E23" s="42"/>
      <c r="F23" s="42"/>
      <c r="G23" s="5"/>
    </row>
    <row r="24" spans="1:7" ht="12.75" hidden="1">
      <c r="A24" s="11"/>
      <c r="B24" s="32"/>
      <c r="C24" s="12"/>
      <c r="D24" s="12"/>
      <c r="E24" s="42"/>
      <c r="F24" s="42"/>
      <c r="G24" s="5"/>
    </row>
    <row r="25" spans="1:6" ht="12.75" hidden="1">
      <c r="A25" s="19"/>
      <c r="B25" s="33"/>
      <c r="C25" s="29"/>
      <c r="D25" s="29"/>
      <c r="E25" s="44"/>
      <c r="F25" s="44"/>
    </row>
    <row r="26" spans="1:6" ht="12" customHeight="1" hidden="1">
      <c r="A26" s="106"/>
      <c r="B26" s="106"/>
      <c r="C26" s="106"/>
      <c r="D26" s="18"/>
      <c r="E26" s="18"/>
      <c r="F26" s="18"/>
    </row>
    <row r="27" spans="1:6" ht="12.75">
      <c r="A27" s="1" t="s">
        <v>29</v>
      </c>
      <c r="B27" s="7"/>
      <c r="C27" s="7"/>
      <c r="D27" s="7"/>
      <c r="E27" s="7"/>
      <c r="F27" s="7"/>
    </row>
    <row r="28" ht="12.75">
      <c r="A28" s="104" t="s">
        <v>80</v>
      </c>
    </row>
    <row r="29" ht="12.75">
      <c r="A29" s="104" t="s">
        <v>81</v>
      </c>
    </row>
    <row r="32" ht="12.75">
      <c r="D32" s="70"/>
    </row>
    <row r="33" ht="12.75">
      <c r="D33" s="70"/>
    </row>
    <row r="34" ht="12.75">
      <c r="D34" s="70"/>
    </row>
    <row r="35" ht="12.75">
      <c r="D35" s="70"/>
    </row>
    <row r="36" ht="12.75">
      <c r="D36" s="70"/>
    </row>
    <row r="37" ht="12.75">
      <c r="D37" s="70"/>
    </row>
    <row r="38" ht="12.75">
      <c r="D38" s="70"/>
    </row>
    <row r="39" ht="12.75">
      <c r="D39" s="70"/>
    </row>
    <row r="40" ht="12.75">
      <c r="D40" s="70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20" zoomScaleNormal="120" zoomScalePageLayoutView="0" workbookViewId="0" topLeftCell="B13">
      <selection activeCell="D31" sqref="D31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74</v>
      </c>
      <c r="F1" s="2" t="s">
        <v>64</v>
      </c>
    </row>
    <row r="2" ht="12.75">
      <c r="A2" s="9" t="s">
        <v>75</v>
      </c>
    </row>
    <row r="3" ht="12.75">
      <c r="A3" s="9" t="s">
        <v>76</v>
      </c>
    </row>
    <row r="4" ht="12.75">
      <c r="A4" s="9"/>
    </row>
    <row r="5" spans="1:6" s="3" customFormat="1" ht="16.5">
      <c r="A5" s="107" t="s">
        <v>78</v>
      </c>
      <c r="B5" s="107"/>
      <c r="C5" s="107"/>
      <c r="D5" s="107"/>
      <c r="E5" s="107"/>
      <c r="F5" s="107"/>
    </row>
    <row r="6" spans="1:6" s="4" customFormat="1" ht="12.75" hidden="1">
      <c r="A6" s="108" t="s">
        <v>54</v>
      </c>
      <c r="B6" s="108"/>
      <c r="C6" s="108"/>
      <c r="D6" s="108"/>
      <c r="E6" s="108"/>
      <c r="F6" s="108"/>
    </row>
    <row r="7" ht="12.75">
      <c r="F7" s="85" t="s">
        <v>27</v>
      </c>
    </row>
    <row r="8" spans="1:6" ht="12.75">
      <c r="A8" s="76" t="s">
        <v>0</v>
      </c>
      <c r="B8" s="76" t="s">
        <v>34</v>
      </c>
      <c r="C8" s="77" t="s">
        <v>18</v>
      </c>
      <c r="D8" s="77" t="s">
        <v>30</v>
      </c>
      <c r="E8" s="78" t="s">
        <v>57</v>
      </c>
      <c r="F8" s="78"/>
    </row>
    <row r="9" spans="1:6" ht="12.75">
      <c r="A9" s="79"/>
      <c r="B9" s="80"/>
      <c r="C9" s="81" t="s">
        <v>31</v>
      </c>
      <c r="D9" s="81" t="s">
        <v>31</v>
      </c>
      <c r="E9" s="81" t="s">
        <v>18</v>
      </c>
      <c r="F9" s="81" t="s">
        <v>32</v>
      </c>
    </row>
    <row r="10" spans="1:6" ht="12.75">
      <c r="A10" s="82"/>
      <c r="B10" s="83"/>
      <c r="C10" s="84"/>
      <c r="D10" s="84"/>
      <c r="E10" s="84" t="s">
        <v>31</v>
      </c>
      <c r="F10" s="84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7" ht="12.75">
      <c r="A12" s="46" t="s">
        <v>7</v>
      </c>
      <c r="B12" s="47" t="s">
        <v>73</v>
      </c>
      <c r="C12" s="48">
        <f>SUM(C13,C30)</f>
        <v>1588000</v>
      </c>
      <c r="D12" s="48">
        <f>SUM(D13,D30)</f>
        <v>1461924.431111111</v>
      </c>
      <c r="E12" s="49">
        <f>D12/C12*100</f>
        <v>92.0607324377274</v>
      </c>
      <c r="F12" s="40">
        <f>D12/1103164*100</f>
        <v>132.52104230296774</v>
      </c>
      <c r="G12" s="71"/>
    </row>
    <row r="13" spans="1:7" ht="12.75">
      <c r="A13" s="10" t="s">
        <v>1</v>
      </c>
      <c r="B13" s="31" t="s">
        <v>9</v>
      </c>
      <c r="C13" s="57">
        <f>SUM(C14:C21,C27:C29)</f>
        <v>1588000</v>
      </c>
      <c r="D13" s="57">
        <f>'[1]T12'!$F$12/1000</f>
        <v>1461924.431111111</v>
      </c>
      <c r="E13" s="39">
        <f>D13/C13*100</f>
        <v>92.0607324377274</v>
      </c>
      <c r="F13" s="40">
        <f>D13/(1103164)*100</f>
        <v>132.52104230296774</v>
      </c>
      <c r="G13" s="8"/>
    </row>
    <row r="14" spans="1:7" ht="12.75">
      <c r="A14" s="11">
        <v>1</v>
      </c>
      <c r="B14" s="50" t="s">
        <v>36</v>
      </c>
      <c r="C14" s="55"/>
      <c r="D14" s="55"/>
      <c r="E14" s="42"/>
      <c r="F14" s="45"/>
      <c r="G14" s="8"/>
    </row>
    <row r="15" spans="1:7" ht="12.75">
      <c r="A15" s="11">
        <v>2</v>
      </c>
      <c r="B15" s="50" t="s">
        <v>37</v>
      </c>
      <c r="C15" s="55"/>
      <c r="D15" s="55"/>
      <c r="E15" s="42"/>
      <c r="F15" s="45"/>
      <c r="G15" s="8"/>
    </row>
    <row r="16" spans="1:7" ht="12.75">
      <c r="A16" s="11">
        <v>3</v>
      </c>
      <c r="B16" s="50" t="s">
        <v>38</v>
      </c>
      <c r="C16" s="55">
        <v>700000</v>
      </c>
      <c r="D16" s="55">
        <v>645387</v>
      </c>
      <c r="E16" s="42">
        <f aca="true" t="shared" si="0" ref="E16:E21">D16/C16*100</f>
        <v>92.19814285714286</v>
      </c>
      <c r="F16" s="45">
        <f>D16/(528929)*100</f>
        <v>122.01769991813647</v>
      </c>
      <c r="G16" s="8"/>
    </row>
    <row r="17" spans="1:7" ht="12.75">
      <c r="A17" s="11">
        <v>4</v>
      </c>
      <c r="B17" s="50" t="s">
        <v>20</v>
      </c>
      <c r="C17" s="55">
        <v>236000</v>
      </c>
      <c r="D17" s="55">
        <f>'[1]T12'!$F$27/1000</f>
        <v>213089.37</v>
      </c>
      <c r="E17" s="42">
        <f t="shared" si="0"/>
        <v>90.2921059322034</v>
      </c>
      <c r="F17" s="45">
        <f>D17/176155*100</f>
        <v>120.9669722687406</v>
      </c>
      <c r="G17" s="8"/>
    </row>
    <row r="18" spans="1:7" ht="12.75">
      <c r="A18" s="11">
        <v>5</v>
      </c>
      <c r="B18" s="50" t="s">
        <v>22</v>
      </c>
      <c r="C18" s="55">
        <v>2000</v>
      </c>
      <c r="D18" s="55">
        <f>'[1]T12'!$F$33/1000</f>
        <v>2622.88</v>
      </c>
      <c r="E18" s="42">
        <f t="shared" si="0"/>
        <v>131.144</v>
      </c>
      <c r="F18" s="45">
        <f>D18/4522*100</f>
        <v>58.002653693056175</v>
      </c>
      <c r="G18" s="8"/>
    </row>
    <row r="19" spans="1:7" ht="12.75">
      <c r="A19" s="11">
        <v>6</v>
      </c>
      <c r="B19" s="50" t="s">
        <v>59</v>
      </c>
      <c r="C19" s="55">
        <v>285000</v>
      </c>
      <c r="D19" s="55">
        <f>'[1]T12'!$F$25/1000</f>
        <v>208767.336</v>
      </c>
      <c r="E19" s="42">
        <f t="shared" si="0"/>
        <v>73.25169684210526</v>
      </c>
      <c r="F19" s="45">
        <f>D19/223868*100</f>
        <v>93.25465720871227</v>
      </c>
      <c r="G19" s="71">
        <f>F19-100</f>
        <v>-6.745342791287726</v>
      </c>
    </row>
    <row r="20" spans="1:7" ht="12.75">
      <c r="A20" s="11">
        <v>7</v>
      </c>
      <c r="B20" s="50" t="s">
        <v>60</v>
      </c>
      <c r="C20" s="55">
        <f>45932+14068</f>
        <v>60000</v>
      </c>
      <c r="D20" s="55">
        <f>'[1]T12'!$F$34/1000</f>
        <v>48532.922</v>
      </c>
      <c r="E20" s="42">
        <f t="shared" si="0"/>
        <v>80.88820333333334</v>
      </c>
      <c r="F20" s="45">
        <f>D20/(46069+16462)*100</f>
        <v>77.61417856743054</v>
      </c>
      <c r="G20" s="8"/>
    </row>
    <row r="21" spans="1:7" ht="12.75">
      <c r="A21" s="11">
        <v>8</v>
      </c>
      <c r="B21" s="50" t="s">
        <v>11</v>
      </c>
      <c r="C21" s="55">
        <f>SUM(C22:C26)</f>
        <v>262000</v>
      </c>
      <c r="D21" s="55">
        <f>SUM(D22:D26)</f>
        <v>245770.12399999998</v>
      </c>
      <c r="E21" s="42">
        <f t="shared" si="0"/>
        <v>93.80539083969465</v>
      </c>
      <c r="F21" s="45">
        <f>D21/(9849+39544+393403)*100</f>
        <v>55.504142765517294</v>
      </c>
      <c r="G21" s="8"/>
    </row>
    <row r="22" spans="1:7" ht="12.75">
      <c r="A22" s="11"/>
      <c r="B22" s="51" t="s">
        <v>10</v>
      </c>
      <c r="C22" s="56"/>
      <c r="D22" s="56"/>
      <c r="E22" s="60"/>
      <c r="F22" s="45"/>
      <c r="G22" s="8"/>
    </row>
    <row r="23" spans="1:7" ht="12.75">
      <c r="A23" s="11"/>
      <c r="B23" s="51" t="s">
        <v>21</v>
      </c>
      <c r="C23" s="56">
        <f>8000</f>
        <v>8000</v>
      </c>
      <c r="D23" s="56">
        <f>'[1]T12'!$F$28/1000</f>
        <v>11912.598</v>
      </c>
      <c r="E23" s="60">
        <f>D23/C23*100</f>
        <v>148.90747499999998</v>
      </c>
      <c r="F23" s="69">
        <f>D23/9849*100</f>
        <v>120.95236064575083</v>
      </c>
      <c r="G23" s="8"/>
    </row>
    <row r="24" spans="1:7" ht="12.75">
      <c r="A24" s="11"/>
      <c r="B24" s="52" t="s">
        <v>39</v>
      </c>
      <c r="C24" s="56">
        <v>200000</v>
      </c>
      <c r="D24" s="56">
        <f>'[1]T12'!$F$30/1000</f>
        <v>158617.879</v>
      </c>
      <c r="E24" s="60">
        <f>D24/C24*100</f>
        <v>79.3089395</v>
      </c>
      <c r="F24" s="69">
        <f>D24/393403*100</f>
        <v>40.319438082576895</v>
      </c>
      <c r="G24" s="105"/>
    </row>
    <row r="25" spans="1:7" ht="12.75">
      <c r="A25" s="11"/>
      <c r="B25" s="52" t="s">
        <v>61</v>
      </c>
      <c r="C25" s="56">
        <f>54000</f>
        <v>54000</v>
      </c>
      <c r="D25" s="56">
        <f>'[1]T12'!$F$29/1000</f>
        <v>75239.647</v>
      </c>
      <c r="E25" s="60">
        <f>D25/C25*100</f>
        <v>139.33267962962964</v>
      </c>
      <c r="F25" s="69">
        <f>D25/39544*100</f>
        <v>190.2681746914829</v>
      </c>
      <c r="G25" s="8"/>
    </row>
    <row r="26" spans="1:7" ht="12.75">
      <c r="A26" s="11"/>
      <c r="B26" s="52" t="s">
        <v>62</v>
      </c>
      <c r="C26" s="56"/>
      <c r="D26" s="56"/>
      <c r="E26" s="42"/>
      <c r="F26" s="45"/>
      <c r="G26" s="8"/>
    </row>
    <row r="27" spans="1:7" ht="12.75">
      <c r="A27" s="11">
        <v>9</v>
      </c>
      <c r="B27" s="50" t="s">
        <v>19</v>
      </c>
      <c r="C27" s="55"/>
      <c r="D27" s="55"/>
      <c r="E27" s="42"/>
      <c r="F27" s="45"/>
      <c r="G27" s="8"/>
    </row>
    <row r="28" spans="1:7" ht="12.75">
      <c r="A28" s="21">
        <v>10</v>
      </c>
      <c r="B28" s="50" t="s">
        <v>12</v>
      </c>
      <c r="C28" s="55">
        <v>43000</v>
      </c>
      <c r="D28" s="55">
        <f>'[1]T12'!$F$37/1000</f>
        <v>80426.687</v>
      </c>
      <c r="E28" s="42">
        <f>D28/C28*100</f>
        <v>187.0388069767442</v>
      </c>
      <c r="F28" s="45">
        <f>D28/76146*100</f>
        <v>105.62168334515275</v>
      </c>
      <c r="G28" s="8"/>
    </row>
    <row r="29" spans="1:7" ht="12.75">
      <c r="A29" s="11">
        <v>11</v>
      </c>
      <c r="B29" s="50" t="s">
        <v>40</v>
      </c>
      <c r="C29" s="55"/>
      <c r="D29" s="55"/>
      <c r="E29" s="42"/>
      <c r="F29" s="45">
        <f>D29/13093*100</f>
        <v>0</v>
      </c>
      <c r="G29" s="8"/>
    </row>
    <row r="30" spans="1:7" ht="12.75">
      <c r="A30" s="10" t="s">
        <v>2</v>
      </c>
      <c r="B30" s="31" t="s">
        <v>41</v>
      </c>
      <c r="C30" s="57"/>
      <c r="D30" s="57"/>
      <c r="E30" s="39"/>
      <c r="F30" s="40"/>
      <c r="G30" s="8"/>
    </row>
    <row r="31" spans="1:7" ht="12.75">
      <c r="A31" s="10" t="s">
        <v>8</v>
      </c>
      <c r="B31" s="31" t="s">
        <v>42</v>
      </c>
      <c r="C31" s="27">
        <f>SUM(C32:C33)</f>
        <v>195424</v>
      </c>
      <c r="D31" s="27">
        <f>SUM(D32:D33)</f>
        <v>234116.707</v>
      </c>
      <c r="E31" s="39">
        <f>D31/C31*100</f>
        <v>119.7993629236941</v>
      </c>
      <c r="F31" s="39">
        <f>D31/(148145)*100</f>
        <v>158.0321354078774</v>
      </c>
      <c r="G31" s="8"/>
    </row>
    <row r="32" spans="1:7" ht="12.75">
      <c r="A32" s="11">
        <v>1</v>
      </c>
      <c r="B32" s="50" t="s">
        <v>43</v>
      </c>
      <c r="C32" s="12">
        <f>91800+33732</f>
        <v>125532</v>
      </c>
      <c r="D32" s="12">
        <f>('[1]T12'!$G$21+'[1]T12'!$G$22)/1000</f>
        <v>115747.409</v>
      </c>
      <c r="E32" s="42">
        <f>D32/C32*100</f>
        <v>92.20550058949112</v>
      </c>
      <c r="F32" s="42">
        <f>D32/(71463+23331)*100</f>
        <v>122.10415110661013</v>
      </c>
      <c r="G32" s="5"/>
    </row>
    <row r="33" spans="1:7" ht="12.75">
      <c r="A33" s="14">
        <v>2</v>
      </c>
      <c r="B33" s="53" t="s">
        <v>44</v>
      </c>
      <c r="C33" s="6">
        <f>34200+8000+5603+14068+8021</f>
        <v>69892</v>
      </c>
      <c r="D33" s="6">
        <f>('[1]T12'!$G$24+'[1]T12'!$G$25+'[1]T12'!$G$28+'[1]T12'!$G$34+'[1]T12'!$G$35+'[1]T12'!$G$37)/1000</f>
        <v>118369.298</v>
      </c>
      <c r="E33" s="54">
        <f>D33/C33*100</f>
        <v>169.36029588507984</v>
      </c>
      <c r="F33" s="54">
        <f>D33/(34411+9849+7268+16462+1780)*100</f>
        <v>169.6564397305432</v>
      </c>
      <c r="G33" s="5"/>
    </row>
    <row r="34" spans="1:6" s="59" customFormat="1" ht="12" customHeight="1" hidden="1">
      <c r="A34" s="58"/>
      <c r="B34" s="58"/>
      <c r="C34" s="58"/>
      <c r="D34" s="58"/>
      <c r="E34" s="58"/>
      <c r="F34" s="58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="120" zoomScaleNormal="120" zoomScalePageLayoutView="0" workbookViewId="0" topLeftCell="A7">
      <selection activeCell="D15" sqref="D15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8.140625" style="1" customWidth="1"/>
    <col min="4" max="4" width="8.57421875" style="1" customWidth="1"/>
    <col min="5" max="5" width="10.8515625" style="1" customWidth="1"/>
    <col min="6" max="6" width="10.00390625" style="1" customWidth="1"/>
    <col min="7" max="7" width="0.2890625" style="1" customWidth="1"/>
    <col min="8" max="8" width="0.71875" style="1" customWidth="1"/>
    <col min="9" max="16384" width="9.140625" style="1" customWidth="1"/>
  </cols>
  <sheetData>
    <row r="1" spans="1:6" ht="12.75">
      <c r="A1" s="1" t="s">
        <v>74</v>
      </c>
      <c r="F1" s="2" t="s">
        <v>63</v>
      </c>
    </row>
    <row r="2" ht="12.75">
      <c r="A2" s="9" t="s">
        <v>75</v>
      </c>
    </row>
    <row r="3" ht="12.75">
      <c r="A3" s="9" t="s">
        <v>76</v>
      </c>
    </row>
    <row r="5" spans="1:6" s="3" customFormat="1" ht="16.5">
      <c r="A5" s="107" t="s">
        <v>79</v>
      </c>
      <c r="B5" s="107"/>
      <c r="C5" s="107"/>
      <c r="D5" s="107"/>
      <c r="E5" s="107"/>
      <c r="F5" s="107"/>
    </row>
    <row r="6" spans="1:6" s="4" customFormat="1" ht="12.75" hidden="1">
      <c r="A6" s="108" t="s">
        <v>54</v>
      </c>
      <c r="B6" s="108"/>
      <c r="C6" s="108"/>
      <c r="D6" s="108"/>
      <c r="E6" s="108"/>
      <c r="F6" s="108"/>
    </row>
    <row r="7" ht="12.75">
      <c r="F7" s="85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78" t="s">
        <v>57</v>
      </c>
      <c r="F8" s="17"/>
    </row>
    <row r="9" spans="1:6" ht="12.75">
      <c r="A9" s="21"/>
      <c r="B9" s="22"/>
      <c r="C9" s="34" t="s">
        <v>31</v>
      </c>
      <c r="D9" s="34" t="s">
        <v>31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6"/>
      <c r="B12" s="47" t="s">
        <v>13</v>
      </c>
      <c r="C12" s="48">
        <f>SUM(C13,C30)</f>
        <v>946171</v>
      </c>
      <c r="D12" s="48">
        <f>SUM(D13,D30)</f>
        <v>802195.1599999998</v>
      </c>
      <c r="E12" s="49">
        <f>D12/C12*100</f>
        <v>84.78331718050963</v>
      </c>
      <c r="F12" s="49">
        <f>D12/749429*100</f>
        <v>107.04084843260667</v>
      </c>
      <c r="I12" s="8"/>
    </row>
    <row r="13" spans="1:6" ht="12.75">
      <c r="A13" s="15" t="s">
        <v>7</v>
      </c>
      <c r="B13" s="61" t="s">
        <v>45</v>
      </c>
      <c r="C13" s="25">
        <f>SUM(C14,C17,C29)</f>
        <v>943534</v>
      </c>
      <c r="D13" s="25">
        <f>SUM(D14,D17,D29)</f>
        <v>799122.0849999998</v>
      </c>
      <c r="E13" s="39">
        <f aca="true" t="shared" si="0" ref="E13:E31">D13/C13*100</f>
        <v>84.69457221467376</v>
      </c>
      <c r="F13" s="39">
        <f>D13/(749429-2080)*100</f>
        <v>106.92756463178512</v>
      </c>
    </row>
    <row r="14" spans="1:7" ht="12.75">
      <c r="A14" s="10" t="s">
        <v>1</v>
      </c>
      <c r="B14" s="31" t="s">
        <v>4</v>
      </c>
      <c r="C14" s="57">
        <f>SUM(C15:C16)</f>
        <v>84818</v>
      </c>
      <c r="D14" s="57">
        <f>SUM(D15:D16)</f>
        <v>62627.282</v>
      </c>
      <c r="E14" s="39">
        <f>D14/C14*100</f>
        <v>73.8372538847886</v>
      </c>
      <c r="F14" s="40">
        <f>D14/41718*100</f>
        <v>150.12052830912316</v>
      </c>
      <c r="G14" s="71"/>
    </row>
    <row r="15" spans="1:7" ht="12.75">
      <c r="A15" s="11">
        <v>1</v>
      </c>
      <c r="B15" s="50" t="s">
        <v>46</v>
      </c>
      <c r="C15" s="100">
        <v>84818</v>
      </c>
      <c r="D15" s="100">
        <f>'BS93'!D19-246</f>
        <v>62381.282</v>
      </c>
      <c r="E15" s="42">
        <f>D15/C15*100</f>
        <v>73.54722110872693</v>
      </c>
      <c r="F15" s="45">
        <f>D15/(41718-23)*100</f>
        <v>149.6133397289843</v>
      </c>
      <c r="G15" s="8"/>
    </row>
    <row r="16" spans="1:7" s="67" customFormat="1" ht="12.75">
      <c r="A16" s="62">
        <v>2</v>
      </c>
      <c r="B16" s="63" t="s">
        <v>47</v>
      </c>
      <c r="C16" s="64"/>
      <c r="D16" s="64">
        <v>246</v>
      </c>
      <c r="E16" s="42"/>
      <c r="F16" s="45">
        <f>D16/23*100</f>
        <v>1069.5652173913043</v>
      </c>
      <c r="G16" s="66"/>
    </row>
    <row r="17" spans="1:8" ht="12.75">
      <c r="A17" s="10" t="s">
        <v>2</v>
      </c>
      <c r="B17" s="31" t="s">
        <v>5</v>
      </c>
      <c r="C17" s="57">
        <f>SUM(C19:C28)+45540+9626</f>
        <v>835086</v>
      </c>
      <c r="D17" s="57">
        <f>SUM(D19:D28)+'[1]T12'!$R$64/1000+'[1]T12'!$R$71/1000</f>
        <v>736494.8029999998</v>
      </c>
      <c r="E17" s="39">
        <f t="shared" si="0"/>
        <v>88.19388697691014</v>
      </c>
      <c r="F17" s="40">
        <f>D17/(707712-2080)*100</f>
        <v>104.3737816595619</v>
      </c>
      <c r="G17" s="8">
        <f>811300-23630</f>
        <v>787670</v>
      </c>
      <c r="H17" s="102">
        <f>811300-23630-1777</f>
        <v>785893</v>
      </c>
    </row>
    <row r="18" spans="1:8" s="67" customFormat="1" ht="12.75">
      <c r="A18" s="62"/>
      <c r="B18" s="90" t="s">
        <v>48</v>
      </c>
      <c r="C18" s="64"/>
      <c r="D18" s="64"/>
      <c r="E18" s="42"/>
      <c r="F18" s="65"/>
      <c r="G18" s="66">
        <f>811300-23630</f>
        <v>787670</v>
      </c>
      <c r="H18" s="103">
        <f>C17-H17</f>
        <v>49193</v>
      </c>
    </row>
    <row r="19" spans="1:7" ht="12.75">
      <c r="A19" s="91">
        <v>1</v>
      </c>
      <c r="B19" s="92" t="s">
        <v>15</v>
      </c>
      <c r="C19" s="55">
        <v>351225</v>
      </c>
      <c r="D19" s="87">
        <f>'[1]T12'!$R$30/1000</f>
        <v>271793.306</v>
      </c>
      <c r="E19" s="88">
        <f t="shared" si="0"/>
        <v>77.38438493842978</v>
      </c>
      <c r="F19" s="89">
        <f>D19/257278*100</f>
        <v>105.64187610289257</v>
      </c>
      <c r="G19" s="8">
        <f>G17-C17</f>
        <v>-47416</v>
      </c>
    </row>
    <row r="20" spans="1:7" ht="12.75">
      <c r="A20" s="91">
        <v>2</v>
      </c>
      <c r="B20" s="93" t="s">
        <v>16</v>
      </c>
      <c r="C20" s="55"/>
      <c r="D20" s="87"/>
      <c r="E20" s="88"/>
      <c r="F20" s="89"/>
      <c r="G20" s="8">
        <f>G19-144203</f>
        <v>-191619</v>
      </c>
    </row>
    <row r="21" spans="1:7" ht="12.75">
      <c r="A21" s="91">
        <v>3</v>
      </c>
      <c r="B21" s="92" t="s">
        <v>49</v>
      </c>
      <c r="C21" s="100">
        <f>69639-2637</f>
        <v>67002</v>
      </c>
      <c r="D21" s="87">
        <f>'[1]T12'!$R$35/1000-'[1]T12'!$R$38/1000</f>
        <v>66361.507</v>
      </c>
      <c r="E21" s="88">
        <f t="shared" si="0"/>
        <v>99.04406883376615</v>
      </c>
      <c r="F21" s="89">
        <f>D21/(70373-2080)*100</f>
        <v>97.1717555239922</v>
      </c>
      <c r="G21" s="8"/>
    </row>
    <row r="22" spans="1:7" ht="12.75">
      <c r="A22" s="91">
        <v>4</v>
      </c>
      <c r="B22" s="93" t="s">
        <v>50</v>
      </c>
      <c r="C22" s="55">
        <f>4299</f>
        <v>4299</v>
      </c>
      <c r="D22" s="87">
        <f>'[1]T12'!$R$41/1000</f>
        <v>4142.766</v>
      </c>
      <c r="E22" s="88">
        <f t="shared" si="0"/>
        <v>96.36580600139565</v>
      </c>
      <c r="F22" s="89">
        <f>D22/5169*100</f>
        <v>80.14637260591991</v>
      </c>
      <c r="G22" s="8"/>
    </row>
    <row r="23" spans="1:7" ht="12.75">
      <c r="A23" s="91">
        <v>5</v>
      </c>
      <c r="B23" s="92" t="s">
        <v>51</v>
      </c>
      <c r="C23" s="55"/>
      <c r="D23" s="87"/>
      <c r="E23" s="88"/>
      <c r="F23" s="89"/>
      <c r="G23" s="8"/>
    </row>
    <row r="24" spans="1:7" ht="12.75">
      <c r="A24" s="91">
        <v>6</v>
      </c>
      <c r="B24" s="92" t="s">
        <v>52</v>
      </c>
      <c r="C24" s="55">
        <v>1441</v>
      </c>
      <c r="D24" s="87">
        <f>'[1]T12'!$R$46/1000</f>
        <v>579.422</v>
      </c>
      <c r="E24" s="88">
        <f t="shared" si="0"/>
        <v>40.209715475364334</v>
      </c>
      <c r="F24" s="89">
        <f>D24/814*100</f>
        <v>71.18206388206389</v>
      </c>
      <c r="G24" s="8"/>
    </row>
    <row r="25" spans="1:7" ht="12.75">
      <c r="A25" s="91">
        <v>7</v>
      </c>
      <c r="B25" s="92" t="s">
        <v>23</v>
      </c>
      <c r="C25" s="55">
        <f>53502</f>
        <v>53502</v>
      </c>
      <c r="D25" s="87">
        <f>'[1]T12'!$R$25/1000</f>
        <v>45974.043</v>
      </c>
      <c r="E25" s="88">
        <f t="shared" si="0"/>
        <v>85.92957833352024</v>
      </c>
      <c r="F25" s="89">
        <f>D25/55142*100</f>
        <v>83.37391280693481</v>
      </c>
      <c r="G25" s="8"/>
    </row>
    <row r="26" spans="1:7" ht="12.75">
      <c r="A26" s="91">
        <v>8</v>
      </c>
      <c r="B26" s="92" t="s">
        <v>17</v>
      </c>
      <c r="C26" s="55">
        <f>40087+5475+417+421</f>
        <v>46400</v>
      </c>
      <c r="D26" s="87">
        <f>'[1]T12'!$R$17/1000-45974</f>
        <v>42909.278000000006</v>
      </c>
      <c r="E26" s="88">
        <f t="shared" si="0"/>
        <v>92.47689224137933</v>
      </c>
      <c r="F26" s="89">
        <f>D26/(36986+3516+869)*100</f>
        <v>103.71825191559306</v>
      </c>
      <c r="G26" s="8"/>
    </row>
    <row r="27" spans="1:9" ht="25.5">
      <c r="A27" s="91">
        <v>9</v>
      </c>
      <c r="B27" s="86" t="s">
        <v>65</v>
      </c>
      <c r="C27" s="87">
        <f>167150</f>
        <v>167150</v>
      </c>
      <c r="D27" s="87">
        <f>'[1]T12'!$R$57/1000</f>
        <v>153218.868</v>
      </c>
      <c r="E27" s="88">
        <f t="shared" si="0"/>
        <v>91.66549087645826</v>
      </c>
      <c r="F27" s="89">
        <f>D27/136477*100</f>
        <v>112.26717175787861</v>
      </c>
      <c r="G27" s="8"/>
      <c r="I27" s="8"/>
    </row>
    <row r="28" spans="1:7" ht="12.75">
      <c r="A28" s="91">
        <v>10</v>
      </c>
      <c r="B28" s="92" t="s">
        <v>53</v>
      </c>
      <c r="C28" s="87">
        <v>88901</v>
      </c>
      <c r="D28" s="87">
        <f>'[1]T12'!$R$49/1000</f>
        <v>99287.852</v>
      </c>
      <c r="E28" s="88">
        <f t="shared" si="0"/>
        <v>111.68361660723727</v>
      </c>
      <c r="F28" s="89">
        <f>D28/94525*100</f>
        <v>105.03872203120868</v>
      </c>
      <c r="G28" s="8"/>
    </row>
    <row r="29" spans="1:7" ht="12.75">
      <c r="A29" s="10" t="s">
        <v>3</v>
      </c>
      <c r="B29" s="31" t="s">
        <v>66</v>
      </c>
      <c r="C29" s="57">
        <v>23630</v>
      </c>
      <c r="D29" s="57"/>
      <c r="E29" s="39">
        <f t="shared" si="0"/>
        <v>0</v>
      </c>
      <c r="F29" s="40"/>
      <c r="G29" s="8"/>
    </row>
    <row r="30" spans="1:6" ht="25.5">
      <c r="A30" s="95" t="s">
        <v>8</v>
      </c>
      <c r="B30" s="94" t="s">
        <v>67</v>
      </c>
      <c r="C30" s="96">
        <f>SUM(C31:C32)</f>
        <v>2637</v>
      </c>
      <c r="D30" s="96">
        <f>SUM(D31:D32)</f>
        <v>3073.075</v>
      </c>
      <c r="E30" s="97">
        <f>D30/C30*100</f>
        <v>116.53678422449754</v>
      </c>
      <c r="F30" s="97">
        <f>D30/2080*100</f>
        <v>147.7439903846154</v>
      </c>
    </row>
    <row r="31" spans="1:7" ht="12.75">
      <c r="A31" s="91">
        <v>1</v>
      </c>
      <c r="B31" s="92" t="s">
        <v>68</v>
      </c>
      <c r="C31" s="12">
        <v>2637</v>
      </c>
      <c r="D31" s="87">
        <f>'[1]T12'!$R$38/1000</f>
        <v>3073.075</v>
      </c>
      <c r="E31" s="88">
        <f t="shared" si="0"/>
        <v>116.53678422449754</v>
      </c>
      <c r="F31" s="88">
        <f>D31/2080*100</f>
        <v>147.7439903846154</v>
      </c>
      <c r="G31" s="8"/>
    </row>
    <row r="32" spans="1:7" ht="12.75">
      <c r="A32" s="91">
        <v>2</v>
      </c>
      <c r="B32" s="92" t="s">
        <v>69</v>
      </c>
      <c r="C32" s="98">
        <f>SUM(C33)</f>
        <v>0</v>
      </c>
      <c r="D32" s="98">
        <f>SUM(D33)</f>
        <v>0</v>
      </c>
      <c r="E32" s="97"/>
      <c r="F32" s="97">
        <f>D32/385*100</f>
        <v>0</v>
      </c>
      <c r="G32" s="8"/>
    </row>
    <row r="33" spans="1:7" ht="12.75">
      <c r="A33" s="91">
        <v>3</v>
      </c>
      <c r="B33" s="92" t="s">
        <v>70</v>
      </c>
      <c r="C33" s="99"/>
      <c r="D33" s="99"/>
      <c r="E33" s="88"/>
      <c r="F33" s="88">
        <f>D33/385*100</f>
        <v>0</v>
      </c>
      <c r="G33" s="8"/>
    </row>
    <row r="34" spans="1:7" ht="12.75">
      <c r="A34" s="19"/>
      <c r="B34" s="33"/>
      <c r="C34" s="29"/>
      <c r="D34" s="29"/>
      <c r="E34" s="44"/>
      <c r="F34" s="54">
        <f>D34/385*100</f>
        <v>0</v>
      </c>
      <c r="G34" s="5"/>
    </row>
    <row r="35" spans="1:6" s="59" customFormat="1" ht="12" customHeight="1">
      <c r="A35" s="58"/>
      <c r="B35" s="58"/>
      <c r="C35" s="58"/>
      <c r="D35" s="58"/>
      <c r="E35" s="58"/>
      <c r="F35" s="58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0.96" right="0.47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2019-01-14T08:57:37Z</cp:lastPrinted>
  <dcterms:created xsi:type="dcterms:W3CDTF">2001-08-16T01:23:45Z</dcterms:created>
  <dcterms:modified xsi:type="dcterms:W3CDTF">2019-01-14T09:27:27Z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2019-01-23T00:00:00Z</vt:lpwstr>
  </property>
  <property fmtid="{D5CDD505-2E9C-101B-9397-08002B2CF9AE}" pid="4" name="ContentTy">
    <vt:lpwstr>Hình ảnh</vt:lpwstr>
  </property>
  <property fmtid="{D5CDD505-2E9C-101B-9397-08002B2CF9AE}" pid="5" name="Ngày g">
    <vt:lpwstr>2019-01-23T15:46:00Z</vt:lpwstr>
  </property>
</Properties>
</file>